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660" windowHeight="10932" tabRatio="678" activeTab="0"/>
  </bookViews>
  <sheets>
    <sheet name="FieldForm-Side1" sheetId="1" r:id="rId1"/>
    <sheet name="FieldForm-Side 2 Manual" sheetId="2" r:id="rId2"/>
    <sheet name="FieldForm-Side 2 Digital" sheetId="3" r:id="rId3"/>
  </sheets>
  <definedNames>
    <definedName name="_xlnm.Print_Area" localSheetId="1">'FieldForm-Side 2 Manual'!$A$4:$G$75</definedName>
    <definedName name="_xlnm.Print_Area" localSheetId="0">'FieldForm-Side1'!$B$4:$N$70</definedName>
  </definedNames>
  <calcPr fullCalcOnLoad="1"/>
</workbook>
</file>

<file path=xl/sharedStrings.xml><?xml version="1.0" encoding="utf-8"?>
<sst xmlns="http://schemas.openxmlformats.org/spreadsheetml/2006/main" count="990" uniqueCount="415">
  <si>
    <t>Shoreline Protection</t>
  </si>
  <si>
    <t>Question Description</t>
  </si>
  <si>
    <t>Y     N</t>
  </si>
  <si>
    <t>Rare Wildlife</t>
  </si>
  <si>
    <t>Rating</t>
  </si>
  <si>
    <t>Question</t>
  </si>
  <si>
    <t>Score</t>
  </si>
  <si>
    <t>1       0.1</t>
  </si>
  <si>
    <t>1     0.5     0.1</t>
  </si>
  <si>
    <t>3A, 3B, 4A, 4B, 7A, 7B, 8A, 8B, 10A, 13A, 13B, 12B, 14A, 15A, 15B, 16A, 16B</t>
  </si>
  <si>
    <t>E    H     M      L</t>
  </si>
  <si>
    <t>R      D</t>
  </si>
  <si>
    <t>H     M      L    N/A</t>
  </si>
  <si>
    <t>2    1     0.5     0.1</t>
  </si>
  <si>
    <t>1     0.5     0.1    0</t>
  </si>
  <si>
    <t>1     0.1</t>
  </si>
  <si>
    <t>1       0</t>
  </si>
  <si>
    <t>1, 2, 3, 4, 5, 6, 7, 8</t>
  </si>
  <si>
    <t>1     0.5     0.1   0</t>
  </si>
  <si>
    <t>Wet ID _________</t>
  </si>
  <si>
    <t>Cowardin Types</t>
  </si>
  <si>
    <t>Date</t>
  </si>
  <si>
    <t>Outlet, Tile, Ditch, GW pump, Wtrshd Div.</t>
  </si>
  <si>
    <t>Photo ID</t>
  </si>
  <si>
    <t xml:space="preserve">  </t>
  </si>
  <si>
    <t>Hydrogeomorphology and Topography  (circle one)</t>
  </si>
  <si>
    <t>Depressional/Isolated, Depress'l/Flow-through, Depress'l/Tributary, Riverine, Lacustrine, Peatland, Floodplain, Slope, Other</t>
  </si>
  <si>
    <t>:</t>
  </si>
  <si>
    <t>Date:</t>
  </si>
  <si>
    <t xml:space="preserve"> #</t>
  </si>
  <si>
    <t>MnRAM</t>
  </si>
  <si>
    <t>Outlet characteristics for flood retention</t>
  </si>
  <si>
    <t>Outlet characteristics for hydrologic regime</t>
  </si>
  <si>
    <t>Soil condition (wetland)</t>
  </si>
  <si>
    <t>____ %</t>
  </si>
  <si>
    <t>Stormwater runoff pretreatment &amp; detention</t>
  </si>
  <si>
    <t>Sediment delivery</t>
  </si>
  <si>
    <t>Upland soils (based on soil group)</t>
  </si>
  <si>
    <t>Subwatershed wetland density</t>
  </si>
  <si>
    <t>Channels/sheet flow</t>
  </si>
  <si>
    <t>Nutrient loading</t>
  </si>
  <si>
    <t>Shoreline wetland</t>
  </si>
  <si>
    <t>Rooted shoreline vegetation (%cover )</t>
  </si>
  <si>
    <t>Emergent vegetation erosion resistance</t>
  </si>
  <si>
    <t>Shoreline erosion potential</t>
  </si>
  <si>
    <t>Wetland detritus</t>
  </si>
  <si>
    <t>Wildlife barriers</t>
  </si>
  <si>
    <t>Wetland visibility</t>
  </si>
  <si>
    <t>Proximity to population</t>
  </si>
  <si>
    <t>Public ownership</t>
  </si>
  <si>
    <t>Public access</t>
  </si>
  <si>
    <t>Human influence on wetland</t>
  </si>
  <si>
    <t>Human influence on viewshed</t>
  </si>
  <si>
    <t>Spatial buffer</t>
  </si>
  <si>
    <t>Commercial crop--hydrologic impact</t>
  </si>
  <si>
    <t>Restoration potential w/o flooding</t>
  </si>
  <si>
    <t>Landowners affected by restoration</t>
  </si>
  <si>
    <t>Additional stormwater treatment needs</t>
  </si>
  <si>
    <t>Wetland sensitivity to stormwater</t>
  </si>
  <si>
    <t>Hydrologic alteration type</t>
  </si>
  <si>
    <t>_____ acres</t>
  </si>
  <si>
    <t>_____ feet</t>
  </si>
  <si>
    <t>______ ft</t>
  </si>
  <si>
    <t>Wildlife species (list)</t>
  </si>
  <si>
    <t xml:space="preserve">  GW - Wetland soils</t>
  </si>
  <si>
    <t xml:space="preserve">  GW - Subwatershed land use</t>
  </si>
  <si>
    <t xml:space="preserve">  GW - Wetland size and soil group</t>
  </si>
  <si>
    <t xml:space="preserve">  GW - Wetland hydroperiod</t>
  </si>
  <si>
    <t xml:space="preserve">  GW - Inlet/Outlet configuration</t>
  </si>
  <si>
    <t xml:space="preserve">  GW - Surrounding upland topographic relief</t>
  </si>
  <si>
    <t>Plant Community #1</t>
  </si>
  <si>
    <t>Plant Community #2</t>
  </si>
  <si>
    <t>Plant Community #3</t>
  </si>
  <si>
    <t>#1</t>
  </si>
  <si>
    <t>#4</t>
  </si>
  <si>
    <t>#5</t>
  </si>
  <si>
    <t>#6</t>
  </si>
  <si>
    <t>Wetland                           name / ID _________</t>
  </si>
  <si>
    <t>______ %</t>
  </si>
  <si>
    <r>
      <t>Community Number</t>
    </r>
    <r>
      <rPr>
        <sz val="8"/>
        <rFont val="Arial"/>
        <family val="2"/>
      </rPr>
      <t xml:space="preserve"> (circle each community which represents at least 10% of the wetland)</t>
    </r>
  </si>
  <si>
    <t>Average vegetative diversity/integrity:</t>
  </si>
  <si>
    <t>Weighted Average veg. diversity/integrity:</t>
  </si>
  <si>
    <t>Community interspersion (see diagram 2)</t>
  </si>
  <si>
    <t xml:space="preserve">#2 &amp; #3                           ~ Describe each community type individually below ~                                                 ~ Describe each community type individually below ~ </t>
  </si>
  <si>
    <t>Community Type (wet meadow, marsh)</t>
  </si>
  <si>
    <t>Community Proportion (% of total)</t>
  </si>
  <si>
    <t>Community Quality (E, H, M, L)</t>
  </si>
  <si>
    <t>Plant Community #4*</t>
  </si>
  <si>
    <t>Community Numbers &amp; Names Lookup</t>
  </si>
  <si>
    <t>1A</t>
  </si>
  <si>
    <t>Floodplain Forest</t>
  </si>
  <si>
    <t>2A</t>
  </si>
  <si>
    <t>3A</t>
  </si>
  <si>
    <t>3B</t>
  </si>
  <si>
    <t>Hardwood Swamp</t>
  </si>
  <si>
    <t>2B</t>
  </si>
  <si>
    <t>Coniferous Bog</t>
  </si>
  <si>
    <t>4A</t>
  </si>
  <si>
    <t>4B</t>
  </si>
  <si>
    <t>Coniferous Swamp</t>
  </si>
  <si>
    <t>1B</t>
  </si>
  <si>
    <t>Open Bog</t>
  </si>
  <si>
    <t>5A</t>
  </si>
  <si>
    <t>6A</t>
  </si>
  <si>
    <t>7A</t>
  </si>
  <si>
    <t>7B</t>
  </si>
  <si>
    <t>Calcareous Fen</t>
  </si>
  <si>
    <t>6B</t>
  </si>
  <si>
    <t>Shrub Swamp</t>
  </si>
  <si>
    <t>8A</t>
  </si>
  <si>
    <t>Alder Thicket</t>
  </si>
  <si>
    <t>8B</t>
  </si>
  <si>
    <t>Shrub-Carr</t>
  </si>
  <si>
    <t>5B</t>
  </si>
  <si>
    <t>9A</t>
  </si>
  <si>
    <t>10A</t>
  </si>
  <si>
    <t>10B</t>
  </si>
  <si>
    <t>Sedge Meadow</t>
  </si>
  <si>
    <t>11A</t>
  </si>
  <si>
    <t>12A</t>
  </si>
  <si>
    <t>13A</t>
  </si>
  <si>
    <t>13B</t>
  </si>
  <si>
    <t>Shallow Marsh</t>
  </si>
  <si>
    <t>12B</t>
  </si>
  <si>
    <t>Deep Marsh</t>
  </si>
  <si>
    <t>11B</t>
  </si>
  <si>
    <t>14A</t>
  </si>
  <si>
    <t>14B</t>
  </si>
  <si>
    <t>Wet to Wet-Mesic Prairie</t>
  </si>
  <si>
    <t>15A</t>
  </si>
  <si>
    <t>15B</t>
  </si>
  <si>
    <t>Fresh(wet) Meadow</t>
  </si>
  <si>
    <t>9B</t>
  </si>
  <si>
    <t>Shallow, Open Water</t>
  </si>
  <si>
    <t>16A</t>
  </si>
  <si>
    <t>16B</t>
  </si>
  <si>
    <t>Seasonally Flooded Basin</t>
  </si>
  <si>
    <t>h</t>
  </si>
  <si>
    <t>-</t>
  </si>
  <si>
    <t>Highest rated community veg. div./integ:</t>
  </si>
  <si>
    <t>l</t>
  </si>
  <si>
    <t>Veg. Table 2, Option 4</t>
  </si>
  <si>
    <t>TOTAL VEG Rating</t>
  </si>
  <si>
    <t>n</t>
  </si>
  <si>
    <t>hydrogeo &amp; topo</t>
  </si>
  <si>
    <t>Add</t>
  </si>
  <si>
    <t>WQ</t>
  </si>
  <si>
    <t>Open Water Interspersion LookUp</t>
  </si>
  <si>
    <t>CC</t>
  </si>
  <si>
    <t>Rtg</t>
  </si>
  <si>
    <t>Ltr</t>
  </si>
  <si>
    <t>L</t>
  </si>
  <si>
    <t>M</t>
  </si>
  <si>
    <t>H</t>
  </si>
  <si>
    <t>N/A</t>
  </si>
  <si>
    <t>Community Interspersion LookUp</t>
  </si>
  <si>
    <t>Function Name</t>
  </si>
  <si>
    <t>Hydrology - Characteristic</t>
  </si>
  <si>
    <t>Flood Attenuation</t>
  </si>
  <si>
    <t>Water Quality--Downstream</t>
  </si>
  <si>
    <t>Water Quality--Wetland</t>
  </si>
  <si>
    <t>Commercial use</t>
  </si>
  <si>
    <t>Water depth (inches)</t>
  </si>
  <si>
    <t>Water depth (% inundation)</t>
  </si>
  <si>
    <t>SOILS: Up/Wetland (survey classification + site)</t>
  </si>
  <si>
    <t>Depressional/Isolated</t>
  </si>
  <si>
    <t>Depress'l/Flow-through</t>
  </si>
  <si>
    <t>Depress'l/Tributary</t>
  </si>
  <si>
    <t>Riverine</t>
  </si>
  <si>
    <t>Lacustrine</t>
  </si>
  <si>
    <t>Peatland</t>
  </si>
  <si>
    <t>Floodplain</t>
  </si>
  <si>
    <t>Slope</t>
  </si>
  <si>
    <t>Other</t>
  </si>
  <si>
    <t>I</t>
  </si>
  <si>
    <t>FT</t>
  </si>
  <si>
    <t>Trib</t>
  </si>
  <si>
    <t>R</t>
  </si>
  <si>
    <t>Lac</t>
  </si>
  <si>
    <t>Peat</t>
  </si>
  <si>
    <t>Flood</t>
  </si>
  <si>
    <t>S</t>
  </si>
  <si>
    <t>O</t>
  </si>
  <si>
    <t>1  2  3  4  5 6 7 8  N/A</t>
  </si>
  <si>
    <t>Shoreline wetland?</t>
  </si>
  <si>
    <t>Hydrogeology and Topography LookUp</t>
  </si>
  <si>
    <t>Outlet, Tile, Ditch, GW pump, Wtrshd div., Filling</t>
  </si>
  <si>
    <r>
      <t xml:space="preserve">SOILS: </t>
    </r>
    <r>
      <rPr>
        <sz val="10"/>
        <rFont val="Arial"/>
        <family val="2"/>
      </rPr>
      <t>Upland/Wetland (survey classification + site)</t>
    </r>
  </si>
  <si>
    <r>
      <t>Maximum Water Depth</t>
    </r>
    <r>
      <rPr>
        <sz val="10"/>
        <rFont val="Arial"/>
        <family val="2"/>
      </rPr>
      <t xml:space="preserve"> (inches)  :  </t>
    </r>
    <r>
      <rPr>
        <b/>
        <sz val="10"/>
        <rFont val="Arial"/>
        <family val="2"/>
      </rPr>
      <t>% inundation</t>
    </r>
  </si>
  <si>
    <t xml:space="preserve">    Invasive/exotic Vegetation / Cover Class</t>
  </si>
  <si>
    <r>
      <t xml:space="preserve">    Invasive/exotic Vegetation </t>
    </r>
    <r>
      <rPr>
        <b/>
        <sz val="10"/>
        <rFont val="Arial"/>
        <family val="2"/>
      </rPr>
      <t>/</t>
    </r>
    <r>
      <rPr>
        <sz val="10"/>
        <rFont val="Arial"/>
        <family val="0"/>
      </rPr>
      <t xml:space="preserve"> Cover Class</t>
    </r>
  </si>
  <si>
    <r>
      <t xml:space="preserve">     Dominant Vegetation</t>
    </r>
    <r>
      <rPr>
        <b/>
        <sz val="10"/>
        <rFont val="Arial"/>
        <family val="2"/>
      </rPr>
      <t xml:space="preserve"> /</t>
    </r>
    <r>
      <rPr>
        <sz val="10"/>
        <rFont val="Arial"/>
        <family val="2"/>
      </rPr>
      <t xml:space="preserve"> Cover Class</t>
    </r>
  </si>
  <si>
    <r>
      <t xml:space="preserve">     Dominant Vegetation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Cover Class</t>
    </r>
  </si>
  <si>
    <t>Amphibian breeding potential--fish presence</t>
  </si>
  <si>
    <t>n/a</t>
  </si>
  <si>
    <t>H38</t>
  </si>
  <si>
    <t>none</t>
  </si>
  <si>
    <t>=</t>
  </si>
  <si>
    <t>Amphibian breeding potential-hydroperiod</t>
  </si>
  <si>
    <t>formula is:</t>
  </si>
  <si>
    <t>flood outlet</t>
  </si>
  <si>
    <t>F-T</t>
  </si>
  <si>
    <t>both</t>
  </si>
  <si>
    <t>m</t>
  </si>
  <si>
    <t>Special Features Lookup</t>
  </si>
  <si>
    <t>a</t>
  </si>
  <si>
    <t>Designated trout stream or trout lake</t>
  </si>
  <si>
    <t>b</t>
  </si>
  <si>
    <t>Calcareous fen</t>
  </si>
  <si>
    <t>c</t>
  </si>
  <si>
    <t>Designated scientific and natural area</t>
  </si>
  <si>
    <t>d</t>
  </si>
  <si>
    <t>Rare natural community</t>
  </si>
  <si>
    <t>e</t>
  </si>
  <si>
    <t>High priority wetland, environmentally sensitive area, or environmental corridor identified in a local water management plan</t>
  </si>
  <si>
    <t>f</t>
  </si>
  <si>
    <t>Public park, forest, trail, or recreation area</t>
  </si>
  <si>
    <t>g</t>
  </si>
  <si>
    <t>j</t>
  </si>
  <si>
    <t>k</t>
  </si>
  <si>
    <t>o</t>
  </si>
  <si>
    <t>p</t>
  </si>
  <si>
    <t>q</t>
  </si>
  <si>
    <t>r</t>
  </si>
  <si>
    <t>t</t>
  </si>
  <si>
    <t>u</t>
  </si>
  <si>
    <t>s</t>
  </si>
  <si>
    <t>Shoreland area identified in a zonining ordinance or map</t>
  </si>
  <si>
    <t>wetland restored or created for mitigation purposes</t>
  </si>
  <si>
    <t>Sensitive ground-water area</t>
  </si>
  <si>
    <t>Federally identified special area management plan, special wetland inventory study, or an advanced delineation and identification study</t>
  </si>
  <si>
    <t>State or Federal designated wilderness area</t>
  </si>
  <si>
    <t>State or Federal designated wild and scienic river</t>
  </si>
  <si>
    <t>Local Shoreland Managment Plan area</t>
  </si>
  <si>
    <t>Floodplain area identified in a zonining ordinance or map</t>
  </si>
  <si>
    <t>Fishery exceptional</t>
  </si>
  <si>
    <t>Vegetative D/I exceptional</t>
  </si>
  <si>
    <t>Wildlife/Fishery Habitat functional rating Exceptional</t>
  </si>
  <si>
    <t>Aesthetics/Recreation/Education exceptional</t>
  </si>
  <si>
    <t>IF GW Recharge, exceptional</t>
  </si>
  <si>
    <t>IF GW Recharge, High</t>
  </si>
  <si>
    <t>Amphibian Habitat Formula Breakout</t>
  </si>
  <si>
    <t>Special Features listing:</t>
  </si>
  <si>
    <t>Archeologic or historic site designated by the State Historic Preservation Office</t>
  </si>
  <si>
    <t>Local Watershed Area--immediate drainage (acres)</t>
  </si>
  <si>
    <t>Estimated size of existing wetland (acres)</t>
  </si>
  <si>
    <t>66 B</t>
  </si>
  <si>
    <t>66 C</t>
  </si>
  <si>
    <t>Shoreline - erosion potential</t>
  </si>
  <si>
    <t>Amphibian breeding potential - fish presence</t>
  </si>
  <si>
    <t>Amphibian &amp; reptile overwintering habitat</t>
  </si>
  <si>
    <t>Fish species (list)</t>
  </si>
  <si>
    <t>66 A</t>
  </si>
  <si>
    <t>Total wetland restoration size (acres)</t>
  </si>
  <si>
    <t>Potential new wetland area (acres)=B-A</t>
  </si>
  <si>
    <t>Ease of potential restoration</t>
  </si>
  <si>
    <t>Potential wetland type (Circ. 39)</t>
  </si>
  <si>
    <t>1      2     3       N/A</t>
  </si>
  <si>
    <t>____ feet</t>
  </si>
  <si>
    <t>Amphibian breeding is controlling factor</t>
  </si>
  <si>
    <t>Pre-European-settlement conditions?</t>
  </si>
  <si>
    <t>Dominant upland land use (within 500 ft)</t>
  </si>
  <si>
    <r>
      <t>Upland area slope</t>
    </r>
    <r>
      <rPr>
        <sz val="10"/>
        <rFont val="Arial"/>
        <family val="2"/>
      </rPr>
      <t xml:space="preserve"> (to 50 ft.)  </t>
    </r>
    <r>
      <rPr>
        <b/>
        <sz val="10"/>
        <rFont val="Arial"/>
        <family val="2"/>
      </rPr>
      <t xml:space="preserve">                                                              </t>
    </r>
    <r>
      <rPr>
        <sz val="10"/>
        <rFont val="Arial"/>
        <family val="2"/>
      </rPr>
      <t xml:space="preserve">    (% in each category)</t>
    </r>
  </si>
  <si>
    <t>Shoreline - emergent veg. erosion resistance</t>
  </si>
  <si>
    <t>Wetland interspersion on landscape</t>
  </si>
  <si>
    <t>Recreational activity potential</t>
  </si>
  <si>
    <t>Listed, rare, special plant species?</t>
  </si>
  <si>
    <t>Rare community or habitat?</t>
  </si>
  <si>
    <t>Shoreline - wetland in-water width (in feet, average)</t>
  </si>
  <si>
    <t>Shoreline - bank protection/upslope veg.</t>
  </si>
  <si>
    <t>A      B       C      N/A</t>
  </si>
  <si>
    <t>A     B      C</t>
  </si>
  <si>
    <t xml:space="preserve">A     B      C    </t>
  </si>
  <si>
    <t>Local watershed/immedita drainage (acres)</t>
  </si>
  <si>
    <t>Existing wetland size</t>
  </si>
  <si>
    <t>Wetland in-water  width (in feet, average)</t>
  </si>
  <si>
    <t>Bank protection/upslope veg.</t>
  </si>
  <si>
    <t>Downstream sensitivity/WQ protection</t>
  </si>
  <si>
    <t>Average width of naturalized upland buffer (potential)</t>
  </si>
  <si>
    <t>Existing wetland size (acres) [same as #10]</t>
  </si>
  <si>
    <t>Vegetative Diversity/Integrity</t>
  </si>
  <si>
    <t>State or Federal fish and wildlife refuge or fish &amp; wildlife management area</t>
  </si>
  <si>
    <t>Designated Wellhead or Sourcewater Protection Area</t>
  </si>
  <si>
    <t>wetland restored or preserved under a conservation easement</t>
  </si>
  <si>
    <t>State Coastal Zone or Shoreland Management Plan area</t>
  </si>
  <si>
    <t>Federal or state listed endangered or threatened wildlife species or species of concern in or using the wetland.</t>
  </si>
  <si>
    <t>Established and persistent populations of federal or state listed endangered or threatened plant species or species of concern in the wetland.</t>
  </si>
  <si>
    <t>Characteristic Wildlife Habitat Structure</t>
  </si>
  <si>
    <t>Maintenance of Characteristic Fish Habitat</t>
  </si>
  <si>
    <t>Maintenance of Characteristic Amphibian Habitat</t>
  </si>
  <si>
    <t>Aesthetics/Recreation/Education/Cultural</t>
  </si>
  <si>
    <t>Vegetation (% cover)</t>
  </si>
  <si>
    <t>Emerg. veg. flood resistance</t>
  </si>
  <si>
    <t>Scare/Rare/S1/S2 local community</t>
  </si>
  <si>
    <t>Vegetation interspersion cover (see diagram 1)</t>
  </si>
  <si>
    <t>Veg. community interspersion (see diagram 2)</t>
  </si>
  <si>
    <t>Amph. breeding potential - hydroperiod</t>
  </si>
  <si>
    <t>Fish habitat quality</t>
  </si>
  <si>
    <t>all public      1      2      3+</t>
  </si>
  <si>
    <t>E       A        B         C</t>
  </si>
  <si>
    <t>A      B       C</t>
  </si>
  <si>
    <t>A      B       C    N/A</t>
  </si>
  <si>
    <t>E    A     B     C     N/A</t>
  </si>
  <si>
    <t>Shoreline - rooted vegetation (% cover )</t>
  </si>
  <si>
    <t>Unique/rare educ./cultural/rec. opportunity</t>
  </si>
  <si>
    <t>all public     1      2      3+</t>
  </si>
  <si>
    <t>Full    Manicured    Bare .     %           %           %</t>
  </si>
  <si>
    <t>Native     Mixed     Sparse    .       %           %           %</t>
  </si>
  <si>
    <t>Gentle  Moderate  Steep .       %          %         %</t>
  </si>
  <si>
    <t>Scarce/Rare/S1/S2 local community</t>
  </si>
  <si>
    <t>Unique/rare educ./cultural/rec.opportunity</t>
  </si>
  <si>
    <t>____</t>
  </si>
  <si>
    <t>Full    Manicured     Bare .     %           %           %</t>
  </si>
  <si>
    <t>Adequate / Inadequate</t>
  </si>
  <si>
    <t>Groundwater Interaction</t>
  </si>
  <si>
    <t>Circular 39 Types (primary &lt;TAB&gt; others)</t>
  </si>
  <si>
    <t>Fish Habitat=E</t>
  </si>
  <si>
    <t>Aesthetics=E</t>
  </si>
  <si>
    <t>Veg=E</t>
  </si>
  <si>
    <t>AND #5=Y, then Wildlife=E</t>
  </si>
  <si>
    <t>Wildlife/Fish=E</t>
  </si>
  <si>
    <t>AND #35 =Y, Wildlife=E</t>
  </si>
  <si>
    <t>GW=recharge, GW=E</t>
  </si>
  <si>
    <t>Y and GW=recharge, GW=E</t>
  </si>
  <si>
    <t>Groundwater Functional Index</t>
  </si>
  <si>
    <t>D</t>
  </si>
  <si>
    <t>a b  c</t>
  </si>
  <si>
    <t>E a  b  c</t>
  </si>
  <si>
    <t>E a b c</t>
  </si>
  <si>
    <t>a b c</t>
  </si>
  <si>
    <t>"Pick an example from the image"</t>
  </si>
  <si>
    <t>__ acres</t>
  </si>
  <si>
    <t>__ feet</t>
  </si>
  <si>
    <t>User entry</t>
  </si>
  <si>
    <t>R or  D</t>
  </si>
  <si>
    <t>Y or N</t>
  </si>
  <si>
    <t>Recharge/Discharge Tendency</t>
  </si>
  <si>
    <t>E49</t>
  </si>
  <si>
    <t>These are supplemental Lookup Tables and Intermediary formulas:</t>
  </si>
  <si>
    <t>Final Rating</t>
  </si>
  <si>
    <t>Rating Category</t>
  </si>
  <si>
    <t>Characteristic Hydrology formula</t>
  </si>
  <si>
    <t>Vegetative formula</t>
  </si>
  <si>
    <t>"=C4", the Weighted Average Option 4 from Veg. Worksheet</t>
  </si>
  <si>
    <r>
      <t>Flood Attenuation Formula breakout</t>
    </r>
    <r>
      <rPr>
        <sz val="10"/>
        <rFont val="Arial"/>
        <family val="2"/>
      </rPr>
      <t xml:space="preserve"> (not linked to D72) (E16 is reverse rated)</t>
    </r>
  </si>
  <si>
    <t>Habitat formula breakout/lookup (E22 is RR) Special Features Bump is below.</t>
  </si>
  <si>
    <t>Aesthetics/Rec/Ed/Cultural formula</t>
  </si>
  <si>
    <t>Characteristic Fish Habitat formula</t>
  </si>
  <si>
    <t>Characteristic Amphibian Habitat formula (see Lookup breakout below)</t>
  </si>
  <si>
    <t>Formula shown to the right.</t>
  </si>
  <si>
    <t>Additional questions</t>
  </si>
  <si>
    <t>Digital worksheet, section II</t>
  </si>
  <si>
    <t>Digital worksheet, section I</t>
  </si>
  <si>
    <t>Special Features Bump-up reference table</t>
  </si>
  <si>
    <r>
      <t>Special Features</t>
    </r>
    <r>
      <rPr>
        <sz val="8"/>
        <rFont val="Arial"/>
        <family val="2"/>
      </rPr>
      <t xml:space="preserve"> (from list, p.2--enter letter/s)</t>
    </r>
  </si>
  <si>
    <t>Habitat n/a formulator</t>
  </si>
  <si>
    <t>Raw score</t>
  </si>
  <si>
    <t>Restoration Potential (draft formula)</t>
  </si>
  <si>
    <t>Stormwater Sensitivity (not active)</t>
  </si>
  <si>
    <t>Existing wetland size (acres) [from #10]</t>
  </si>
  <si>
    <t>Enter "R" or "D"</t>
  </si>
  <si>
    <t>E50</t>
  </si>
  <si>
    <t>E51</t>
  </si>
  <si>
    <t>"=IF(E49="n/a",1,0)"</t>
  </si>
  <si>
    <t>"=IF(E50="n/a",1.5,0)"</t>
  </si>
  <si>
    <t>"=IF(E51="n/a",2,0)"</t>
  </si>
  <si>
    <t>49&amp;50</t>
  </si>
  <si>
    <t>49&amp;51</t>
  </si>
  <si>
    <t>50&amp;51</t>
  </si>
  <si>
    <t>49&amp;50&amp;51</t>
  </si>
  <si>
    <t>Adjacent naturalized buffer average width (feet)</t>
  </si>
  <si>
    <t>Adjacent Area Diversity &amp; Structure: % Native</t>
  </si>
  <si>
    <t>Adjacent Area Slope: % Gentle</t>
  </si>
  <si>
    <t>Adjacent naturalized buffer, average width (feet)</t>
  </si>
  <si>
    <r>
      <t>Adjacent area management</t>
    </r>
    <r>
      <rPr>
        <sz val="10"/>
        <rFont val="Arial"/>
        <family val="2"/>
      </rPr>
      <t xml:space="preserve"> (to 50 ft.) </t>
    </r>
    <r>
      <rPr>
        <b/>
        <sz val="10"/>
        <rFont val="Arial"/>
        <family val="2"/>
      </rPr>
      <t xml:space="preserve">                                                       </t>
    </r>
    <r>
      <rPr>
        <sz val="10"/>
        <rFont val="Arial"/>
        <family val="2"/>
      </rPr>
      <t xml:space="preserve">  (% of each, minimum 20%)</t>
    </r>
  </si>
  <si>
    <t>Adjacent area diversity and structure (to 50 ft.)                                      (% percent of each)</t>
  </si>
  <si>
    <t>adjacent area slope: % Moderate</t>
  </si>
  <si>
    <t>adjacent area slope: % Steep</t>
  </si>
  <si>
    <t>E112=VLOOKUP(E54,T116:U117,2,FALSE)</t>
  </si>
  <si>
    <t>"=((E55)*(E56+(I27*2)+E53+E18+F24)/6)"</t>
  </si>
  <si>
    <t>Likelihood of restoration success</t>
  </si>
  <si>
    <t>(Calculated) Potential New Wetland Area [B-A]</t>
  </si>
  <si>
    <t>66A</t>
  </si>
  <si>
    <t>66B</t>
  </si>
  <si>
    <t>66C</t>
  </si>
  <si>
    <t>value:</t>
  </si>
  <si>
    <t>% effectively drained:</t>
  </si>
  <si>
    <t>Highest-rated:</t>
  </si>
  <si>
    <t>Functional Rating Summaries</t>
  </si>
  <si>
    <t>"=IF(D41="Y",((E58*2+G28+E22+F24+E40+E43+E42+F45)/9),((E58*2+G28+E22+F24+E40)/6))"</t>
  </si>
  <si>
    <t>Adjacent Area Management: % Full</t>
  </si>
  <si>
    <t>adjacent area mgmt: % Manicured</t>
  </si>
  <si>
    <t>adjacent area mgmt: % Bare</t>
  </si>
  <si>
    <t>adjacent area diversity: % Mixed</t>
  </si>
  <si>
    <t>adjacent area diversity: % Sparse/Inv./Exotic</t>
  </si>
  <si>
    <t>MnRAM 3.2 Digital Worksheet, Side 2</t>
  </si>
  <si>
    <t>MNRAM 3.2 Manual Score Sheet (PRINT OUT BEFORE USE)</t>
  </si>
  <si>
    <t>MNRAM 3.2 Digital/Manual Worksheet, Side 1</t>
  </si>
  <si>
    <t>((E16+(F18+E23)/2+(E19+E22)/2+(E24+E25)/2+(F20+E21+E26)/3)/5)</t>
  </si>
  <si>
    <t xml:space="preserve">           ((F18+E23)/2+(E19+E22)/2+(E24+E25)/2+(F20+E21+E26)/3)/4</t>
  </si>
  <si>
    <t>((E16+(F18+E23)/2+(E19+E22)/2+(E24+E25)/2+                      E26)/5)</t>
  </si>
  <si>
    <t xml:space="preserve">           ((F18+E23)/2+(E19+E22)/2+(E24+E25)/2+                        E26)/4</t>
  </si>
  <si>
    <t>(D6*2+E51+F49+F50+E52+E53+(I27+G28+G31)/3+E17+F24)/10</t>
  </si>
  <si>
    <t>(D6*2+E51+         F50+E52+E53+(I27+G28+G31)/3+E17+F24)/9</t>
  </si>
  <si>
    <t>(D6*2+E51+F49+         E52+E53+(I27+G28+G31)/3+E17+F24)/9</t>
  </si>
  <si>
    <t>(D6*2+E51+                    E52+E53+(I27+G28+G31)/3+E17+F24)/8</t>
  </si>
  <si>
    <t>(D6*2+         F49+F50+E52+E53+(I27+G28+G31)/3+E17+F24)/9</t>
  </si>
  <si>
    <t>(D6*2+                  F50+E52+E53+(I27+G28+G31)/3+E17+F24)/8</t>
  </si>
  <si>
    <t>(D6*2+         F49+          E52+E53+(I27+G28+G31)/3+E17+F24)/8</t>
  </si>
  <si>
    <t>(D6*2+                              E52+E53+(I27+G28+G31)/3+E17+F24)/7</t>
  </si>
  <si>
    <t>"=IF(E41="y",((E42+E43+E44+E45+E46)/5),"N/A")"</t>
  </si>
  <si>
    <t>"=(D6*2+E18+F24+(G27+G28+G34)/3+E22+E40)/7"</t>
  </si>
  <si>
    <t>"IF(E65=".1",(E62+E63+E64+2*E65+E66+E67+E68)/8,(E61+E62+E63+E64+E65+E66+E67+E68)/8)"</t>
  </si>
  <si>
    <r>
      <t xml:space="preserve">"=E69" </t>
    </r>
    <r>
      <rPr>
        <b/>
        <sz val="10"/>
        <rFont val="Arial"/>
        <family val="2"/>
      </rPr>
      <t>Commercial use</t>
    </r>
    <r>
      <rPr>
        <sz val="10"/>
        <rFont val="Arial"/>
        <family val="0"/>
      </rPr>
      <t xml:space="preserve"> reflects just the rating for the question.</t>
    </r>
  </si>
  <si>
    <t>"=(E17+E18+E19+F24)/4" F24 is the reverse rating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</si>
</sst>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Wingdings"/>
      <family val="0"/>
    </font>
    <font>
      <sz val="6"/>
      <name val="Small Fonts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u val="single"/>
      <sz val="10"/>
      <color indexed="12"/>
      <name val="Arial"/>
      <family val="2"/>
    </font>
    <font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45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2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0" fillId="33" borderId="0" xfId="0" applyFill="1" applyAlignment="1" quotePrefix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33" borderId="10" xfId="0" applyFill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Alignment="1" quotePrefix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 quotePrefix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 quotePrefix="1">
      <alignment vertical="center" wrapText="1"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top" wrapText="1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8" xfId="0" applyFill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4" borderId="10" xfId="0" applyFill="1" applyBorder="1" applyAlignment="1" quotePrefix="1">
      <alignment horizontal="center" vertical="center" wrapText="1"/>
    </xf>
    <xf numFmtId="0" fontId="0" fillId="34" borderId="24" xfId="0" applyFill="1" applyBorder="1" applyAlignment="1" quotePrefix="1">
      <alignment horizontal="center" vertical="center" wrapText="1"/>
    </xf>
    <xf numFmtId="0" fontId="0" fillId="35" borderId="18" xfId="0" applyFill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0" fillId="35" borderId="13" xfId="0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0" fillId="35" borderId="2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 quotePrefix="1">
      <alignment horizontal="left" vertical="center" wrapText="1"/>
    </xf>
    <xf numFmtId="2" fontId="0" fillId="0" borderId="10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top" wrapText="1"/>
    </xf>
    <xf numFmtId="0" fontId="3" fillId="0" borderId="0" xfId="0" applyFont="1" applyAlignment="1" quotePrefix="1">
      <alignment horizontal="left"/>
    </xf>
    <xf numFmtId="9" fontId="0" fillId="0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4" borderId="35" xfId="0" applyFill="1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34" borderId="26" xfId="0" applyFont="1" applyFill="1" applyBorder="1" applyAlignment="1">
      <alignment horizontal="left" vertical="center" wrapText="1"/>
    </xf>
    <xf numFmtId="0" fontId="0" fillId="34" borderId="26" xfId="0" applyFill="1" applyBorder="1" applyAlignment="1">
      <alignment/>
    </xf>
    <xf numFmtId="0" fontId="0" fillId="34" borderId="37" xfId="0" applyFill="1" applyBorder="1" applyAlignment="1">
      <alignment horizontal="center"/>
    </xf>
    <xf numFmtId="0" fontId="0" fillId="34" borderId="36" xfId="0" applyFill="1" applyBorder="1" applyAlignment="1">
      <alignment horizontal="left" vertical="top"/>
    </xf>
    <xf numFmtId="0" fontId="0" fillId="34" borderId="25" xfId="0" applyFill="1" applyBorder="1" applyAlignment="1">
      <alignment/>
    </xf>
    <xf numFmtId="0" fontId="0" fillId="0" borderId="26" xfId="0" applyFill="1" applyBorder="1" applyAlignment="1" quotePrefix="1">
      <alignment horizontal="center"/>
    </xf>
    <xf numFmtId="0" fontId="0" fillId="0" borderId="38" xfId="0" applyFill="1" applyBorder="1" applyAlignment="1">
      <alignment horizontal="center"/>
    </xf>
    <xf numFmtId="0" fontId="0" fillId="34" borderId="10" xfId="0" applyFont="1" applyFill="1" applyBorder="1" applyAlignment="1" quotePrefix="1">
      <alignment horizontal="left" vertical="top" wrapText="1"/>
    </xf>
    <xf numFmtId="0" fontId="0" fillId="34" borderId="17" xfId="0" applyFont="1" applyFill="1" applyBorder="1" applyAlignment="1" quotePrefix="1">
      <alignment horizontal="left" vertical="top" wrapText="1"/>
    </xf>
    <xf numFmtId="0" fontId="0" fillId="34" borderId="26" xfId="0" applyFill="1" applyBorder="1" applyAlignment="1">
      <alignment horizontal="left" vertical="center"/>
    </xf>
    <xf numFmtId="0" fontId="0" fillId="34" borderId="17" xfId="0" applyFill="1" applyBorder="1" applyAlignment="1" quotePrefix="1">
      <alignment horizontal="left" vertical="top"/>
    </xf>
    <xf numFmtId="0" fontId="0" fillId="34" borderId="3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7" xfId="0" applyFont="1" applyFill="1" applyBorder="1" applyAlignment="1" quotePrefix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 quotePrefix="1">
      <alignment horizontal="left" vertical="top"/>
    </xf>
    <xf numFmtId="2" fontId="0" fillId="0" borderId="40" xfId="0" applyNumberFormat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4" borderId="29" xfId="0" applyFill="1" applyBorder="1" applyAlignment="1">
      <alignment horizontal="left" vertical="center" wrapText="1"/>
    </xf>
    <xf numFmtId="0" fontId="0" fillId="34" borderId="30" xfId="0" applyFill="1" applyBorder="1" applyAlignment="1" quotePrefix="1">
      <alignment horizontal="center" vertical="center" wrapText="1"/>
    </xf>
    <xf numFmtId="0" fontId="1" fillId="0" borderId="31" xfId="0" applyFont="1" applyFill="1" applyBorder="1" applyAlignment="1" quotePrefix="1">
      <alignment horizontal="left"/>
    </xf>
    <xf numFmtId="0" fontId="1" fillId="0" borderId="32" xfId="0" applyFont="1" applyFill="1" applyBorder="1" applyAlignment="1">
      <alignment horizontal="center"/>
    </xf>
    <xf numFmtId="0" fontId="0" fillId="34" borderId="44" xfId="0" applyFill="1" applyBorder="1" applyAlignment="1">
      <alignment horizontal="left" vertical="center" wrapText="1"/>
    </xf>
    <xf numFmtId="0" fontId="0" fillId="34" borderId="45" xfId="0" applyFill="1" applyBorder="1" applyAlignment="1" quotePrefix="1">
      <alignment horizontal="center" vertical="center" wrapText="1"/>
    </xf>
    <xf numFmtId="0" fontId="0" fillId="34" borderId="46" xfId="0" applyFill="1" applyBorder="1" applyAlignment="1" quotePrefix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0" fillId="34" borderId="22" xfId="0" applyFill="1" applyBorder="1" applyAlignment="1" quotePrefix="1">
      <alignment horizontal="center" vertical="center" wrapText="1"/>
    </xf>
    <xf numFmtId="0" fontId="0" fillId="34" borderId="47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9" fontId="9" fillId="0" borderId="0" xfId="44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9" fillId="36" borderId="36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9" fillId="36" borderId="36" xfId="0" applyFont="1" applyFill="1" applyBorder="1" applyAlignment="1" applyProtection="1">
      <alignment horizontal="center" vertical="center"/>
      <protection locked="0"/>
    </xf>
    <xf numFmtId="39" fontId="9" fillId="0" borderId="0" xfId="44" applyNumberFormat="1" applyFont="1" applyFill="1" applyBorder="1" applyAlignment="1" applyProtection="1">
      <alignment horizontal="right"/>
      <protection/>
    </xf>
    <xf numFmtId="39" fontId="1" fillId="0" borderId="0" xfId="44" applyNumberFormat="1" applyFont="1" applyFill="1" applyBorder="1" applyAlignment="1" applyProtection="1">
      <alignment horizontal="center" vertical="center" textRotation="90"/>
      <protection/>
    </xf>
    <xf numFmtId="0" fontId="9" fillId="0" borderId="0" xfId="53" applyFont="1" applyFill="1" applyBorder="1" applyAlignment="1" applyProtection="1">
      <alignment horizontal="right" vertical="top"/>
      <protection/>
    </xf>
    <xf numFmtId="0" fontId="9" fillId="36" borderId="36" xfId="0" applyFont="1" applyFill="1" applyBorder="1" applyAlignment="1" applyProtection="1">
      <alignment horizontal="center" vertical="top"/>
      <protection locked="0"/>
    </xf>
    <xf numFmtId="9" fontId="9" fillId="36" borderId="36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right" vertical="top"/>
      <protection/>
    </xf>
    <xf numFmtId="39" fontId="9" fillId="0" borderId="0" xfId="44" applyNumberFormat="1" applyFont="1" applyFill="1" applyBorder="1" applyAlignment="1" applyProtection="1">
      <alignment horizontal="right" vertical="top"/>
      <protection/>
    </xf>
    <xf numFmtId="0" fontId="9" fillId="0" borderId="3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32" xfId="0" applyNumberFormat="1" applyFont="1" applyBorder="1" applyAlignment="1" applyProtection="1">
      <alignment horizontal="center"/>
      <protection/>
    </xf>
    <xf numFmtId="0" fontId="9" fillId="0" borderId="34" xfId="0" applyNumberFormat="1" applyFont="1" applyBorder="1" applyAlignment="1" applyProtection="1">
      <alignment horizontal="center"/>
      <protection/>
    </xf>
    <xf numFmtId="39" fontId="9" fillId="0" borderId="0" xfId="44" applyNumberFormat="1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9" fillId="0" borderId="36" xfId="0" applyFont="1" applyFill="1" applyBorder="1" applyAlignment="1" applyProtection="1">
      <alignment horizontal="left"/>
      <protection locked="0"/>
    </xf>
    <xf numFmtId="2" fontId="9" fillId="0" borderId="50" xfId="0" applyNumberFormat="1" applyFont="1" applyBorder="1" applyAlignment="1" applyProtection="1">
      <alignment horizontal="center"/>
      <protection/>
    </xf>
    <xf numFmtId="170" fontId="9" fillId="0" borderId="0" xfId="0" applyNumberFormat="1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center"/>
      <protection/>
    </xf>
    <xf numFmtId="0" fontId="9" fillId="37" borderId="50" xfId="0" applyFont="1" applyFill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0" fillId="35" borderId="51" xfId="0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 horizontal="center"/>
      <protection/>
    </xf>
    <xf numFmtId="0" fontId="9" fillId="38" borderId="15" xfId="0" applyFont="1" applyFill="1" applyBorder="1" applyAlignment="1" applyProtection="1">
      <alignment/>
      <protection/>
    </xf>
    <xf numFmtId="2" fontId="9" fillId="0" borderId="49" xfId="0" applyNumberFormat="1" applyFont="1" applyBorder="1" applyAlignment="1" applyProtection="1">
      <alignment horizontal="center"/>
      <protection/>
    </xf>
    <xf numFmtId="0" fontId="9" fillId="38" borderId="49" xfId="0" applyFont="1" applyFill="1" applyBorder="1" applyAlignment="1" applyProtection="1">
      <alignment/>
      <protection/>
    </xf>
    <xf numFmtId="0" fontId="9" fillId="39" borderId="49" xfId="0" applyFont="1" applyFill="1" applyBorder="1" applyAlignment="1" applyProtection="1">
      <alignment/>
      <protection/>
    </xf>
    <xf numFmtId="0" fontId="9" fillId="39" borderId="15" xfId="0" applyFont="1" applyFill="1" applyBorder="1" applyAlignment="1" applyProtection="1">
      <alignment/>
      <protection/>
    </xf>
    <xf numFmtId="0" fontId="9" fillId="40" borderId="49" xfId="0" applyFont="1" applyFill="1" applyBorder="1" applyAlignment="1" applyProtection="1">
      <alignment/>
      <protection/>
    </xf>
    <xf numFmtId="0" fontId="9" fillId="40" borderId="15" xfId="0" applyFont="1" applyFill="1" applyBorder="1" applyAlignment="1" applyProtection="1">
      <alignment/>
      <protection/>
    </xf>
    <xf numFmtId="0" fontId="9" fillId="41" borderId="49" xfId="0" applyFont="1" applyFill="1" applyBorder="1" applyAlignment="1" applyProtection="1">
      <alignment/>
      <protection/>
    </xf>
    <xf numFmtId="0" fontId="9" fillId="41" borderId="15" xfId="0" applyFont="1" applyFill="1" applyBorder="1" applyAlignment="1" applyProtection="1">
      <alignment/>
      <protection/>
    </xf>
    <xf numFmtId="0" fontId="9" fillId="42" borderId="49" xfId="0" applyFont="1" applyFill="1" applyBorder="1" applyAlignment="1" applyProtection="1">
      <alignment/>
      <protection/>
    </xf>
    <xf numFmtId="0" fontId="9" fillId="42" borderId="15" xfId="0" applyFont="1" applyFill="1" applyBorder="1" applyAlignment="1" applyProtection="1">
      <alignment/>
      <protection/>
    </xf>
    <xf numFmtId="0" fontId="9" fillId="36" borderId="49" xfId="0" applyFont="1" applyFill="1" applyBorder="1" applyAlignment="1" applyProtection="1">
      <alignment/>
      <protection/>
    </xf>
    <xf numFmtId="0" fontId="9" fillId="36" borderId="15" xfId="0" applyFont="1" applyFill="1" applyBorder="1" applyAlignment="1" applyProtection="1">
      <alignment/>
      <protection/>
    </xf>
    <xf numFmtId="0" fontId="9" fillId="34" borderId="15" xfId="0" applyFont="1" applyFill="1" applyBorder="1" applyAlignment="1" applyProtection="1">
      <alignment/>
      <protection/>
    </xf>
    <xf numFmtId="0" fontId="9" fillId="34" borderId="49" xfId="0" applyFont="1" applyFill="1" applyBorder="1" applyAlignment="1" applyProtection="1">
      <alignment/>
      <protection/>
    </xf>
    <xf numFmtId="0" fontId="9" fillId="43" borderId="49" xfId="0" applyFont="1" applyFill="1" applyBorder="1" applyAlignment="1" applyProtection="1">
      <alignment/>
      <protection/>
    </xf>
    <xf numFmtId="0" fontId="9" fillId="43" borderId="15" xfId="0" applyFont="1" applyFill="1" applyBorder="1" applyAlignment="1" applyProtection="1">
      <alignment/>
      <protection/>
    </xf>
    <xf numFmtId="0" fontId="9" fillId="33" borderId="49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170" fontId="0" fillId="0" borderId="38" xfId="0" applyNumberFormat="1" applyFill="1" applyBorder="1" applyAlignment="1">
      <alignment horizontal="center"/>
    </xf>
    <xf numFmtId="0" fontId="1" fillId="0" borderId="0" xfId="0" applyFont="1" applyAlignment="1">
      <alignment/>
    </xf>
    <xf numFmtId="39" fontId="11" fillId="0" borderId="29" xfId="44" applyNumberFormat="1" applyFont="1" applyFill="1" applyBorder="1" applyAlignment="1" applyProtection="1">
      <alignment horizontal="center" vertical="top"/>
      <protection/>
    </xf>
    <xf numFmtId="39" fontId="11" fillId="0" borderId="49" xfId="44" applyNumberFormat="1" applyFont="1" applyFill="1" applyBorder="1" applyAlignment="1" applyProtection="1">
      <alignment horizontal="center" vertical="top"/>
      <protection/>
    </xf>
    <xf numFmtId="0" fontId="13" fillId="0" borderId="4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39" fontId="11" fillId="0" borderId="31" xfId="44" applyNumberFormat="1" applyFont="1" applyFill="1" applyBorder="1" applyAlignment="1" applyProtection="1">
      <alignment horizontal="center"/>
      <protection/>
    </xf>
    <xf numFmtId="39" fontId="11" fillId="0" borderId="0" xfId="44" applyNumberFormat="1" applyFont="1" applyFill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39" fontId="11" fillId="0" borderId="31" xfId="44" applyNumberFormat="1" applyFont="1" applyFill="1" applyBorder="1" applyAlignment="1" applyProtection="1">
      <alignment horizontal="center" vertical="top"/>
      <protection/>
    </xf>
    <xf numFmtId="39" fontId="11" fillId="0" borderId="33" xfId="44" applyNumberFormat="1" applyFont="1" applyFill="1" applyBorder="1" applyAlignment="1" applyProtection="1">
      <alignment vertical="top"/>
      <protection/>
    </xf>
    <xf numFmtId="39" fontId="11" fillId="0" borderId="15" xfId="44" applyNumberFormat="1" applyFont="1" applyFill="1" applyBorder="1" applyAlignment="1" applyProtection="1">
      <alignment vertical="top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" fillId="0" borderId="29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0" fontId="9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1" fillId="35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center"/>
    </xf>
    <xf numFmtId="0" fontId="0" fillId="34" borderId="0" xfId="0" applyFill="1" applyBorder="1" applyAlignment="1">
      <alignment horizontal="left"/>
    </xf>
    <xf numFmtId="0" fontId="1" fillId="35" borderId="21" xfId="0" applyFont="1" applyFill="1" applyBorder="1" applyAlignment="1">
      <alignment horizontal="left"/>
    </xf>
    <xf numFmtId="0" fontId="0" fillId="36" borderId="53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53" xfId="0" applyBorder="1" applyAlignment="1" applyProtection="1">
      <alignment horizontal="center" vertical="top"/>
      <protection locked="0"/>
    </xf>
    <xf numFmtId="0" fontId="0" fillId="44" borderId="53" xfId="0" applyFont="1" applyFill="1" applyBorder="1" applyAlignment="1" applyProtection="1">
      <alignment horizontal="center" vertical="center" wrapText="1"/>
      <protection locked="0"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9" fontId="0" fillId="34" borderId="10" xfId="0" applyNumberFormat="1" applyFill="1" applyBorder="1" applyAlignment="1" applyProtection="1">
      <alignment horizontal="center"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53" xfId="0" applyFill="1" applyBorder="1" applyAlignment="1" applyProtection="1">
      <alignment horizontal="center" vertical="top"/>
      <protection locked="0"/>
    </xf>
    <xf numFmtId="9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 horizontal="center"/>
      <protection locked="0"/>
    </xf>
    <xf numFmtId="0" fontId="0" fillId="34" borderId="10" xfId="0" applyFill="1" applyBorder="1" applyAlignment="1" applyProtection="1" quotePrefix="1">
      <alignment vertical="center" wrapText="1"/>
      <protection locked="0"/>
    </xf>
    <xf numFmtId="0" fontId="0" fillId="0" borderId="10" xfId="0" applyFill="1" applyBorder="1" applyAlignment="1" applyProtection="1" quotePrefix="1">
      <alignment horizontal="center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 quotePrefix="1">
      <alignment horizontal="center"/>
      <protection locked="0"/>
    </xf>
    <xf numFmtId="0" fontId="0" fillId="34" borderId="12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 quotePrefix="1">
      <alignment horizontal="center" wrapText="1"/>
      <protection locked="0"/>
    </xf>
    <xf numFmtId="0" fontId="0" fillId="34" borderId="12" xfId="0" applyFill="1" applyBorder="1" applyAlignment="1" applyProtection="1" quotePrefix="1">
      <alignment horizontal="center" wrapText="1"/>
      <protection locked="0"/>
    </xf>
    <xf numFmtId="0" fontId="1" fillId="35" borderId="10" xfId="0" applyFont="1" applyFill="1" applyBorder="1" applyAlignment="1" applyProtection="1" quotePrefix="1">
      <alignment horizontal="center" wrapText="1"/>
      <protection locked="0"/>
    </xf>
    <xf numFmtId="0" fontId="1" fillId="35" borderId="10" xfId="0" applyFont="1" applyFill="1" applyBorder="1" applyAlignment="1" applyProtection="1" quotePrefix="1">
      <alignment horizontal="center"/>
      <protection locked="0"/>
    </xf>
    <xf numFmtId="0" fontId="1" fillId="35" borderId="12" xfId="0" applyFont="1" applyFill="1" applyBorder="1" applyAlignment="1" applyProtection="1" quotePrefix="1">
      <alignment horizont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0" fillId="34" borderId="10" xfId="0" applyFont="1" applyFill="1" applyBorder="1" applyAlignment="1" applyProtection="1">
      <alignment horizontal="center" vertical="top"/>
      <protection locked="0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2" xfId="0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57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top"/>
      <protection locked="0"/>
    </xf>
    <xf numFmtId="0" fontId="3" fillId="34" borderId="12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/>
    </xf>
    <xf numFmtId="0" fontId="3" fillId="33" borderId="0" xfId="0" applyFont="1" applyFill="1" applyAlignment="1" quotePrefix="1">
      <alignment horizontal="center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1" fillId="35" borderId="59" xfId="0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60" xfId="0" applyBorder="1" applyAlignment="1">
      <alignment/>
    </xf>
    <xf numFmtId="18" fontId="0" fillId="44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left"/>
    </xf>
    <xf numFmtId="0" fontId="0" fillId="0" borderId="34" xfId="0" applyFill="1" applyBorder="1" applyAlignment="1" applyProtection="1">
      <alignment/>
      <protection/>
    </xf>
    <xf numFmtId="0" fontId="3" fillId="34" borderId="31" xfId="0" applyFont="1" applyFill="1" applyBorder="1" applyAlignment="1">
      <alignment horizontal="left"/>
    </xf>
    <xf numFmtId="0" fontId="3" fillId="34" borderId="32" xfId="0" applyFont="1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5" borderId="32" xfId="0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9" fillId="0" borderId="21" xfId="0" applyFont="1" applyBorder="1" applyAlignment="1" applyProtection="1">
      <alignment horizontal="center"/>
      <protection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34" borderId="31" xfId="0" applyFill="1" applyBorder="1" applyAlignment="1" applyProtection="1" quotePrefix="1">
      <alignment horizontal="left"/>
      <protection locked="0"/>
    </xf>
    <xf numFmtId="0" fontId="3" fillId="0" borderId="5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31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0" fontId="0" fillId="35" borderId="32" xfId="0" applyFont="1" applyFill="1" applyBorder="1" applyAlignment="1" applyProtection="1">
      <alignment horizontal="left"/>
      <protection locked="0"/>
    </xf>
    <xf numFmtId="0" fontId="0" fillId="35" borderId="45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/>
    </xf>
    <xf numFmtId="0" fontId="0" fillId="41" borderId="0" xfId="0" applyFill="1" applyAlignment="1" applyProtection="1">
      <alignment/>
      <protection/>
    </xf>
    <xf numFmtId="0" fontId="9" fillId="41" borderId="0" xfId="0" applyFont="1" applyFill="1" applyBorder="1" applyAlignment="1" applyProtection="1">
      <alignment/>
      <protection/>
    </xf>
    <xf numFmtId="0" fontId="9" fillId="41" borderId="10" xfId="0" applyFont="1" applyFill="1" applyBorder="1" applyAlignment="1">
      <alignment horizontal="right"/>
    </xf>
    <xf numFmtId="9" fontId="9" fillId="41" borderId="36" xfId="0" applyNumberFormat="1" applyFont="1" applyFill="1" applyBorder="1" applyAlignment="1" applyProtection="1">
      <alignment horizontal="center" vertical="top"/>
      <protection locked="0"/>
    </xf>
    <xf numFmtId="0" fontId="9" fillId="41" borderId="0" xfId="0" applyNumberFormat="1" applyFont="1" applyFill="1" applyBorder="1" applyAlignment="1" applyProtection="1">
      <alignment horizontal="center"/>
      <protection/>
    </xf>
    <xf numFmtId="0" fontId="9" fillId="41" borderId="0" xfId="0" applyFont="1" applyFill="1" applyBorder="1" applyAlignment="1" applyProtection="1">
      <alignment vertical="top"/>
      <protection/>
    </xf>
    <xf numFmtId="39" fontId="9" fillId="41" borderId="0" xfId="44" applyNumberFormat="1" applyFont="1" applyFill="1" applyBorder="1" applyAlignment="1" applyProtection="1">
      <alignment vertical="top"/>
      <protection/>
    </xf>
    <xf numFmtId="0" fontId="9" fillId="0" borderId="0" xfId="0" applyFont="1" applyFill="1" applyBorder="1" applyAlignment="1">
      <alignment horizontal="right"/>
    </xf>
    <xf numFmtId="0" fontId="9" fillId="36" borderId="0" xfId="0" applyFont="1" applyFill="1" applyBorder="1" applyAlignment="1" applyProtection="1">
      <alignment horizontal="center"/>
      <protection locked="0"/>
    </xf>
    <xf numFmtId="0" fontId="0" fillId="45" borderId="0" xfId="0" applyFill="1" applyAlignment="1" applyProtection="1">
      <alignment/>
      <protection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1" fillId="0" borderId="49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3" xfId="0" applyBorder="1" applyAlignment="1">
      <alignment horizontal="center"/>
    </xf>
    <xf numFmtId="2" fontId="0" fillId="0" borderId="15" xfId="0" applyNumberForma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0" fontId="9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170" fontId="10" fillId="0" borderId="29" xfId="0" applyNumberFormat="1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/>
      <protection/>
    </xf>
    <xf numFmtId="0" fontId="1" fillId="0" borderId="29" xfId="0" applyFont="1" applyBorder="1" applyAlignment="1">
      <alignment vertical="top"/>
    </xf>
    <xf numFmtId="0" fontId="0" fillId="0" borderId="49" xfId="0" applyBorder="1" applyAlignment="1">
      <alignment vertical="top"/>
    </xf>
    <xf numFmtId="0" fontId="9" fillId="0" borderId="33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9" fillId="43" borderId="29" xfId="0" applyFont="1" applyFill="1" applyBorder="1" applyAlignment="1" applyProtection="1">
      <alignment horizontal="right"/>
      <protection/>
    </xf>
    <xf numFmtId="0" fontId="9" fillId="43" borderId="33" xfId="0" applyFont="1" applyFill="1" applyBorder="1" applyAlignment="1" applyProtection="1">
      <alignment horizontal="right"/>
      <protection/>
    </xf>
    <xf numFmtId="0" fontId="9" fillId="33" borderId="29" xfId="0" applyFont="1" applyFill="1" applyBorder="1" applyAlignment="1" applyProtection="1">
      <alignment horizontal="right"/>
      <protection/>
    </xf>
    <xf numFmtId="0" fontId="9" fillId="33" borderId="33" xfId="0" applyFont="1" applyFill="1" applyBorder="1" applyAlignment="1" applyProtection="1">
      <alignment horizontal="right"/>
      <protection/>
    </xf>
    <xf numFmtId="0" fontId="9" fillId="34" borderId="29" xfId="0" applyFont="1" applyFill="1" applyBorder="1" applyAlignment="1" applyProtection="1">
      <alignment horizontal="right"/>
      <protection/>
    </xf>
    <xf numFmtId="0" fontId="9" fillId="34" borderId="33" xfId="0" applyFont="1" applyFill="1" applyBorder="1" applyAlignment="1" applyProtection="1">
      <alignment horizontal="right"/>
      <protection/>
    </xf>
    <xf numFmtId="0" fontId="9" fillId="36" borderId="29" xfId="0" applyFont="1" applyFill="1" applyBorder="1" applyAlignment="1" applyProtection="1">
      <alignment horizontal="right"/>
      <protection/>
    </xf>
    <xf numFmtId="0" fontId="9" fillId="36" borderId="33" xfId="0" applyFont="1" applyFill="1" applyBorder="1" applyAlignment="1" applyProtection="1">
      <alignment horizontal="right"/>
      <protection/>
    </xf>
    <xf numFmtId="0" fontId="9" fillId="42" borderId="29" xfId="0" applyFont="1" applyFill="1" applyBorder="1" applyAlignment="1" applyProtection="1">
      <alignment horizontal="right"/>
      <protection/>
    </xf>
    <xf numFmtId="0" fontId="9" fillId="42" borderId="33" xfId="0" applyFont="1" applyFill="1" applyBorder="1" applyAlignment="1" applyProtection="1">
      <alignment horizontal="right"/>
      <protection/>
    </xf>
    <xf numFmtId="0" fontId="9" fillId="41" borderId="29" xfId="0" applyFont="1" applyFill="1" applyBorder="1" applyAlignment="1" applyProtection="1">
      <alignment horizontal="right"/>
      <protection/>
    </xf>
    <xf numFmtId="0" fontId="9" fillId="41" borderId="33" xfId="0" applyFont="1" applyFill="1" applyBorder="1" applyAlignment="1" applyProtection="1">
      <alignment horizontal="right"/>
      <protection/>
    </xf>
    <xf numFmtId="0" fontId="9" fillId="38" borderId="29" xfId="0" applyFont="1" applyFill="1" applyBorder="1" applyAlignment="1" applyProtection="1">
      <alignment horizontal="right"/>
      <protection/>
    </xf>
    <xf numFmtId="0" fontId="9" fillId="38" borderId="33" xfId="0" applyFont="1" applyFill="1" applyBorder="1" applyAlignment="1" applyProtection="1">
      <alignment horizontal="right"/>
      <protection/>
    </xf>
    <xf numFmtId="0" fontId="9" fillId="39" borderId="29" xfId="0" applyFont="1" applyFill="1" applyBorder="1" applyAlignment="1" applyProtection="1">
      <alignment horizontal="right"/>
      <protection/>
    </xf>
    <xf numFmtId="0" fontId="9" fillId="39" borderId="33" xfId="0" applyFont="1" applyFill="1" applyBorder="1" applyAlignment="1" applyProtection="1">
      <alignment horizontal="right"/>
      <protection/>
    </xf>
    <xf numFmtId="0" fontId="9" fillId="40" borderId="29" xfId="0" applyFont="1" applyFill="1" applyBorder="1" applyAlignment="1" applyProtection="1">
      <alignment horizontal="right"/>
      <protection/>
    </xf>
    <xf numFmtId="0" fontId="9" fillId="40" borderId="33" xfId="0" applyFont="1" applyFill="1" applyBorder="1" applyAlignment="1" applyProtection="1">
      <alignment horizontal="right"/>
      <protection/>
    </xf>
    <xf numFmtId="0" fontId="9" fillId="37" borderId="61" xfId="0" applyFont="1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45" borderId="31" xfId="0" applyFill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 vertical="top"/>
      <protection/>
    </xf>
    <xf numFmtId="2" fontId="9" fillId="0" borderId="0" xfId="0" applyNumberFormat="1" applyFont="1" applyAlignment="1" applyProtection="1">
      <alignment horizontal="center"/>
      <protection/>
    </xf>
    <xf numFmtId="2" fontId="19" fillId="0" borderId="0" xfId="0" applyNumberFormat="1" applyFont="1" applyAlignment="1">
      <alignment horizontal="center"/>
    </xf>
    <xf numFmtId="0" fontId="20" fillId="46" borderId="0" xfId="0" applyFont="1" applyFill="1" applyAlignment="1" applyProtection="1">
      <alignment/>
      <protection/>
    </xf>
    <xf numFmtId="2" fontId="19" fillId="0" borderId="49" xfId="0" applyNumberFormat="1" applyFont="1" applyBorder="1" applyAlignment="1" applyProtection="1">
      <alignment/>
      <protection/>
    </xf>
    <xf numFmtId="2" fontId="19" fillId="0" borderId="15" xfId="0" applyNumberFormat="1" applyFont="1" applyBorder="1" applyAlignment="1" applyProtection="1">
      <alignment/>
      <protection/>
    </xf>
    <xf numFmtId="2" fontId="22" fillId="0" borderId="49" xfId="0" applyNumberFormat="1" applyFont="1" applyBorder="1" applyAlignment="1" applyProtection="1">
      <alignment/>
      <protection/>
    </xf>
    <xf numFmtId="2" fontId="22" fillId="0" borderId="15" xfId="0" applyNumberFormat="1" applyFont="1" applyBorder="1" applyAlignment="1" applyProtection="1">
      <alignment/>
      <protection/>
    </xf>
    <xf numFmtId="2" fontId="22" fillId="0" borderId="49" xfId="0" applyNumberFormat="1" applyFont="1" applyBorder="1" applyAlignment="1" applyProtection="1">
      <alignment horizontal="center"/>
      <protection/>
    </xf>
    <xf numFmtId="2" fontId="22" fillId="0" borderId="15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0" fillId="36" borderId="36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0" fontId="9" fillId="43" borderId="0" xfId="0" applyFont="1" applyFill="1" applyAlignment="1" applyProtection="1">
      <alignment horizontal="center"/>
      <protection/>
    </xf>
    <xf numFmtId="2" fontId="0" fillId="42" borderId="0" xfId="0" applyNumberFormat="1" applyFill="1" applyAlignment="1" applyProtection="1">
      <alignment/>
      <protection/>
    </xf>
    <xf numFmtId="0" fontId="0" fillId="43" borderId="31" xfId="0" applyFill="1" applyBorder="1" applyAlignment="1">
      <alignment/>
    </xf>
    <xf numFmtId="0" fontId="0" fillId="42" borderId="31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5" borderId="61" xfId="0" applyFill="1" applyBorder="1" applyAlignment="1">
      <alignment horizontal="right" vertical="center" wrapText="1"/>
    </xf>
    <xf numFmtId="0" fontId="0" fillId="35" borderId="61" xfId="0" applyFont="1" applyFill="1" applyBorder="1" applyAlignment="1">
      <alignment horizontal="right"/>
    </xf>
    <xf numFmtId="0" fontId="9" fillId="37" borderId="36" xfId="0" applyFont="1" applyFill="1" applyBorder="1" applyAlignment="1" applyProtection="1">
      <alignment horizontal="center"/>
      <protection/>
    </xf>
    <xf numFmtId="0" fontId="9" fillId="37" borderId="36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/>
    </xf>
    <xf numFmtId="0" fontId="23" fillId="34" borderId="0" xfId="0" applyFont="1" applyFill="1" applyBorder="1" applyAlignment="1" applyProtection="1">
      <alignment/>
      <protection/>
    </xf>
    <xf numFmtId="0" fontId="24" fillId="35" borderId="51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/>
    </xf>
    <xf numFmtId="0" fontId="25" fillId="34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0" fontId="0" fillId="34" borderId="31" xfId="0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/>
      <protection locked="0"/>
    </xf>
    <xf numFmtId="0" fontId="0" fillId="34" borderId="64" xfId="0" applyFont="1" applyFill="1" applyBorder="1" applyAlignment="1" applyProtection="1">
      <alignment horizontal="left" vertical="center" wrapText="1"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34" borderId="66" xfId="0" applyFill="1" applyBorder="1" applyAlignment="1" applyProtection="1">
      <alignment/>
      <protection locked="0"/>
    </xf>
    <xf numFmtId="0" fontId="0" fillId="34" borderId="67" xfId="0" applyFont="1" applyFill="1" applyBorder="1" applyAlignment="1" applyProtection="1">
      <alignment horizontal="left" vertical="center" wrapText="1"/>
      <protection locked="0"/>
    </xf>
    <xf numFmtId="0" fontId="0" fillId="34" borderId="68" xfId="0" applyFill="1" applyBorder="1" applyAlignment="1" applyProtection="1">
      <alignment/>
      <protection locked="0"/>
    </xf>
    <xf numFmtId="0" fontId="0" fillId="34" borderId="69" xfId="0" applyFill="1" applyBorder="1" applyAlignment="1" applyProtection="1">
      <alignment/>
      <protection locked="0"/>
    </xf>
    <xf numFmtId="0" fontId="0" fillId="34" borderId="70" xfId="0" applyFont="1" applyFill="1" applyBorder="1" applyAlignment="1" applyProtection="1">
      <alignment horizontal="left" vertical="center" wrapText="1"/>
      <protection locked="0"/>
    </xf>
    <xf numFmtId="0" fontId="0" fillId="34" borderId="71" xfId="0" applyFill="1" applyBorder="1" applyAlignment="1" applyProtection="1">
      <alignment/>
      <protection locked="0"/>
    </xf>
    <xf numFmtId="0" fontId="0" fillId="34" borderId="72" xfId="0" applyFill="1" applyBorder="1" applyAlignment="1" applyProtection="1">
      <alignment/>
      <protection locked="0"/>
    </xf>
    <xf numFmtId="9" fontId="0" fillId="34" borderId="33" xfId="0" applyNumberFormat="1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34" borderId="63" xfId="0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Font="1" applyFill="1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9" fontId="0" fillId="0" borderId="33" xfId="0" applyNumberFormat="1" applyFill="1" applyBorder="1" applyAlignment="1" applyProtection="1">
      <alignment horizontal="center"/>
      <protection locked="0"/>
    </xf>
    <xf numFmtId="0" fontId="18" fillId="0" borderId="73" xfId="0" applyFont="1" applyBorder="1" applyAlignment="1">
      <alignment horizontal="left" wrapText="1"/>
    </xf>
    <xf numFmtId="0" fontId="0" fillId="0" borderId="74" xfId="0" applyFont="1" applyBorder="1" applyAlignment="1">
      <alignment/>
    </xf>
    <xf numFmtId="0" fontId="1" fillId="0" borderId="33" xfId="0" applyFont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63" xfId="0" applyBorder="1" applyAlignment="1">
      <alignment/>
    </xf>
    <xf numFmtId="0" fontId="0" fillId="34" borderId="31" xfId="0" applyFill="1" applyBorder="1" applyAlignment="1" quotePrefix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5" borderId="75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5" fillId="0" borderId="76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0" fillId="0" borderId="74" xfId="0" applyBorder="1" applyAlignment="1">
      <alignment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/>
    </xf>
    <xf numFmtId="0" fontId="1" fillId="0" borderId="77" xfId="0" applyFont="1" applyFill="1" applyBorder="1" applyAlignment="1" quotePrefix="1">
      <alignment horizontal="left" wrapText="1"/>
    </xf>
    <xf numFmtId="0" fontId="0" fillId="0" borderId="68" xfId="0" applyBorder="1" applyAlignment="1">
      <alignment horizontal="left"/>
    </xf>
    <xf numFmtId="0" fontId="1" fillId="0" borderId="78" xfId="0" applyFont="1" applyFill="1" applyBorder="1" applyAlignment="1" quotePrefix="1">
      <alignment horizontal="left" wrapText="1"/>
    </xf>
    <xf numFmtId="0" fontId="0" fillId="0" borderId="65" xfId="0" applyBorder="1" applyAlignment="1">
      <alignment horizontal="left"/>
    </xf>
    <xf numFmtId="0" fontId="5" fillId="34" borderId="76" xfId="0" applyFont="1" applyFill="1" applyBorder="1" applyAlignment="1">
      <alignment horizontal="center" vertical="center" textRotation="90"/>
    </xf>
    <xf numFmtId="0" fontId="5" fillId="34" borderId="13" xfId="0" applyFont="1" applyFill="1" applyBorder="1" applyAlignment="1">
      <alignment horizontal="center" vertical="center" textRotation="90"/>
    </xf>
    <xf numFmtId="0" fontId="5" fillId="34" borderId="18" xfId="0" applyFont="1" applyFill="1" applyBorder="1" applyAlignment="1">
      <alignment horizontal="center" vertical="center" textRotation="90"/>
    </xf>
    <xf numFmtId="0" fontId="5" fillId="34" borderId="16" xfId="0" applyFont="1" applyFill="1" applyBorder="1" applyAlignment="1">
      <alignment horizontal="center" vertical="center" textRotation="90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79" xfId="0" applyFont="1" applyFill="1" applyBorder="1" applyAlignment="1" quotePrefix="1">
      <alignment horizontal="left" wrapText="1"/>
    </xf>
    <xf numFmtId="0" fontId="0" fillId="0" borderId="71" xfId="0" applyBorder="1" applyAlignment="1">
      <alignment horizontal="left"/>
    </xf>
    <xf numFmtId="0" fontId="10" fillId="0" borderId="0" xfId="0" applyFont="1" applyBorder="1" applyAlignment="1" applyProtection="1">
      <alignment horizontal="center" textRotation="90" wrapText="1"/>
      <protection/>
    </xf>
    <xf numFmtId="0" fontId="10" fillId="0" borderId="0" xfId="0" applyFont="1" applyBorder="1" applyAlignment="1" applyProtection="1">
      <alignment textRotation="90" wrapText="1"/>
      <protection/>
    </xf>
    <xf numFmtId="0" fontId="0" fillId="0" borderId="0" xfId="0" applyAlignment="1">
      <alignment/>
    </xf>
    <xf numFmtId="170" fontId="9" fillId="0" borderId="31" xfId="0" applyNumberFormat="1" applyFont="1" applyBorder="1" applyAlignment="1" applyProtection="1">
      <alignment wrapText="1"/>
      <protection/>
    </xf>
    <xf numFmtId="170" fontId="9" fillId="0" borderId="0" xfId="0" applyNumberFormat="1" applyFont="1" applyBorder="1" applyAlignment="1" applyProtection="1">
      <alignment wrapText="1"/>
      <protection/>
    </xf>
    <xf numFmtId="170" fontId="9" fillId="0" borderId="33" xfId="0" applyNumberFormat="1" applyFont="1" applyBorder="1" applyAlignment="1" applyProtection="1">
      <alignment wrapText="1"/>
      <protection/>
    </xf>
    <xf numFmtId="170" fontId="9" fillId="0" borderId="15" xfId="0" applyNumberFormat="1" applyFont="1" applyBorder="1" applyAlignment="1" applyProtection="1">
      <alignment wrapText="1"/>
      <protection/>
    </xf>
    <xf numFmtId="0" fontId="16" fillId="39" borderId="0" xfId="0" applyFont="1" applyFill="1" applyAlignment="1" applyProtection="1">
      <alignment horizontal="center" vertical="center" textRotation="90"/>
      <protection/>
    </xf>
    <xf numFmtId="0" fontId="0" fillId="39" borderId="0" xfId="0" applyFill="1" applyAlignment="1">
      <alignment horizontal="center" vertical="center"/>
    </xf>
    <xf numFmtId="0" fontId="21" fillId="0" borderId="0" xfId="0" applyFont="1" applyBorder="1" applyAlignment="1" applyProtection="1">
      <alignment horizontal="center" textRotation="90" wrapText="1"/>
      <protection/>
    </xf>
    <xf numFmtId="0" fontId="19" fillId="0" borderId="15" xfId="0" applyFont="1" applyBorder="1" applyAlignment="1">
      <alignment/>
    </xf>
    <xf numFmtId="0" fontId="16" fillId="34" borderId="19" xfId="0" applyFont="1" applyFill="1" applyBorder="1" applyAlignment="1" applyProtection="1">
      <alignment horizontal="center" vertical="center" textRotation="90" wrapText="1"/>
      <protection/>
    </xf>
    <xf numFmtId="0" fontId="16" fillId="42" borderId="0" xfId="0" applyFont="1" applyFill="1" applyAlignment="1" applyProtection="1">
      <alignment horizontal="center" vertical="center" textRotation="90" wrapText="1"/>
      <protection/>
    </xf>
    <xf numFmtId="0" fontId="16" fillId="43" borderId="0" xfId="0" applyFont="1" applyFill="1" applyAlignment="1" applyProtection="1">
      <alignment horizontal="center" vertical="center" textRotation="90" wrapText="1"/>
      <protection/>
    </xf>
    <xf numFmtId="0" fontId="1" fillId="38" borderId="0" xfId="0" applyFont="1" applyFill="1" applyAlignment="1">
      <alignment wrapText="1"/>
    </xf>
    <xf numFmtId="0" fontId="0" fillId="38" borderId="0" xfId="0" applyFill="1" applyAlignment="1">
      <alignment wrapText="1"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6" fillId="0" borderId="49" xfId="0" applyFont="1" applyBorder="1" applyAlignment="1" applyProtection="1">
      <alignment wrapText="1"/>
      <protection/>
    </xf>
    <xf numFmtId="0" fontId="0" fillId="0" borderId="49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29" xfId="0" applyFont="1" applyBorder="1" applyAlignment="1" applyProtection="1">
      <alignment wrapText="1"/>
      <protection/>
    </xf>
    <xf numFmtId="0" fontId="0" fillId="0" borderId="49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209550</xdr:rowOff>
    </xdr:to>
    <xdr:sp>
      <xdr:nvSpPr>
        <xdr:cNvPr id="1" name="Rectangle 36"/>
        <xdr:cNvSpPr>
          <a:spLocks/>
        </xdr:cNvSpPr>
      </xdr:nvSpPr>
      <xdr:spPr>
        <a:xfrm>
          <a:off x="4876800" y="41624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0</xdr:rowOff>
    </xdr:to>
    <xdr:sp>
      <xdr:nvSpPr>
        <xdr:cNvPr id="2" name="Rectangle 37"/>
        <xdr:cNvSpPr>
          <a:spLocks/>
        </xdr:cNvSpPr>
      </xdr:nvSpPr>
      <xdr:spPr>
        <a:xfrm>
          <a:off x="487680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0</xdr:rowOff>
    </xdr:to>
    <xdr:sp>
      <xdr:nvSpPr>
        <xdr:cNvPr id="3" name="Rectangle 38"/>
        <xdr:cNvSpPr>
          <a:spLocks/>
        </xdr:cNvSpPr>
      </xdr:nvSpPr>
      <xdr:spPr>
        <a:xfrm>
          <a:off x="487680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9525</xdr:colOff>
      <xdr:row>9</xdr:row>
      <xdr:rowOff>0</xdr:rowOff>
    </xdr:to>
    <xdr:sp>
      <xdr:nvSpPr>
        <xdr:cNvPr id="4" name="Rectangle 39"/>
        <xdr:cNvSpPr>
          <a:spLocks/>
        </xdr:cNvSpPr>
      </xdr:nvSpPr>
      <xdr:spPr>
        <a:xfrm>
          <a:off x="487680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9525</xdr:colOff>
      <xdr:row>47</xdr:row>
      <xdr:rowOff>190500</xdr:rowOff>
    </xdr:to>
    <xdr:sp>
      <xdr:nvSpPr>
        <xdr:cNvPr id="5" name="Rectangle 40"/>
        <xdr:cNvSpPr>
          <a:spLocks/>
        </xdr:cNvSpPr>
      </xdr:nvSpPr>
      <xdr:spPr>
        <a:xfrm>
          <a:off x="48768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9525</xdr:colOff>
      <xdr:row>34</xdr:row>
      <xdr:rowOff>209550</xdr:rowOff>
    </xdr:to>
    <xdr:sp>
      <xdr:nvSpPr>
        <xdr:cNvPr id="6" name="Rectangle 41"/>
        <xdr:cNvSpPr>
          <a:spLocks/>
        </xdr:cNvSpPr>
      </xdr:nvSpPr>
      <xdr:spPr>
        <a:xfrm>
          <a:off x="4876800" y="64865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209550</xdr:rowOff>
    </xdr:to>
    <xdr:sp>
      <xdr:nvSpPr>
        <xdr:cNvPr id="7" name="Rectangle 42"/>
        <xdr:cNvSpPr>
          <a:spLocks/>
        </xdr:cNvSpPr>
      </xdr:nvSpPr>
      <xdr:spPr>
        <a:xfrm>
          <a:off x="4876800" y="19621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533400</xdr:colOff>
      <xdr:row>21</xdr:row>
      <xdr:rowOff>209550</xdr:rowOff>
    </xdr:to>
    <xdr:sp>
      <xdr:nvSpPr>
        <xdr:cNvPr id="8" name="Rectangle 50"/>
        <xdr:cNvSpPr>
          <a:spLocks/>
        </xdr:cNvSpPr>
      </xdr:nvSpPr>
      <xdr:spPr>
        <a:xfrm>
          <a:off x="6629400" y="41624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514350</xdr:colOff>
      <xdr:row>9</xdr:row>
      <xdr:rowOff>0</xdr:rowOff>
    </xdr:to>
    <xdr:sp>
      <xdr:nvSpPr>
        <xdr:cNvPr id="9" name="Rectangle 51"/>
        <xdr:cNvSpPr>
          <a:spLocks/>
        </xdr:cNvSpPr>
      </xdr:nvSpPr>
      <xdr:spPr>
        <a:xfrm>
          <a:off x="662940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257175</xdr:colOff>
      <xdr:row>9</xdr:row>
      <xdr:rowOff>0</xdr:rowOff>
    </xdr:to>
    <xdr:sp>
      <xdr:nvSpPr>
        <xdr:cNvPr id="10" name="Rectangle 52"/>
        <xdr:cNvSpPr>
          <a:spLocks/>
        </xdr:cNvSpPr>
      </xdr:nvSpPr>
      <xdr:spPr>
        <a:xfrm>
          <a:off x="662940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257175</xdr:colOff>
      <xdr:row>9</xdr:row>
      <xdr:rowOff>0</xdr:rowOff>
    </xdr:to>
    <xdr:sp>
      <xdr:nvSpPr>
        <xdr:cNvPr id="11" name="Rectangle 53"/>
        <xdr:cNvSpPr>
          <a:spLocks/>
        </xdr:cNvSpPr>
      </xdr:nvSpPr>
      <xdr:spPr>
        <a:xfrm>
          <a:off x="662940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533400</xdr:colOff>
      <xdr:row>47</xdr:row>
      <xdr:rowOff>190500</xdr:rowOff>
    </xdr:to>
    <xdr:sp>
      <xdr:nvSpPr>
        <xdr:cNvPr id="12" name="Rectangle 54"/>
        <xdr:cNvSpPr>
          <a:spLocks/>
        </xdr:cNvSpPr>
      </xdr:nvSpPr>
      <xdr:spPr>
        <a:xfrm>
          <a:off x="66294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533400</xdr:colOff>
      <xdr:row>34</xdr:row>
      <xdr:rowOff>209550</xdr:rowOff>
    </xdr:to>
    <xdr:sp>
      <xdr:nvSpPr>
        <xdr:cNvPr id="13" name="Rectangle 55"/>
        <xdr:cNvSpPr>
          <a:spLocks/>
        </xdr:cNvSpPr>
      </xdr:nvSpPr>
      <xdr:spPr>
        <a:xfrm>
          <a:off x="6629400" y="64865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533400</xdr:colOff>
      <xdr:row>8</xdr:row>
      <xdr:rowOff>209550</xdr:rowOff>
    </xdr:to>
    <xdr:sp>
      <xdr:nvSpPr>
        <xdr:cNvPr id="14" name="Rectangle 56"/>
        <xdr:cNvSpPr>
          <a:spLocks/>
        </xdr:cNvSpPr>
      </xdr:nvSpPr>
      <xdr:spPr>
        <a:xfrm>
          <a:off x="6629400" y="19621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533400</xdr:colOff>
      <xdr:row>21</xdr:row>
      <xdr:rowOff>209550</xdr:rowOff>
    </xdr:to>
    <xdr:sp>
      <xdr:nvSpPr>
        <xdr:cNvPr id="15" name="Rectangle 64"/>
        <xdr:cNvSpPr>
          <a:spLocks/>
        </xdr:cNvSpPr>
      </xdr:nvSpPr>
      <xdr:spPr>
        <a:xfrm>
          <a:off x="8401050" y="41624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514350</xdr:colOff>
      <xdr:row>9</xdr:row>
      <xdr:rowOff>0</xdr:rowOff>
    </xdr:to>
    <xdr:sp>
      <xdr:nvSpPr>
        <xdr:cNvPr id="16" name="Rectangle 65"/>
        <xdr:cNvSpPr>
          <a:spLocks/>
        </xdr:cNvSpPr>
      </xdr:nvSpPr>
      <xdr:spPr>
        <a:xfrm>
          <a:off x="840105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257175</xdr:colOff>
      <xdr:row>9</xdr:row>
      <xdr:rowOff>0</xdr:rowOff>
    </xdr:to>
    <xdr:sp>
      <xdr:nvSpPr>
        <xdr:cNvPr id="17" name="Rectangle 66"/>
        <xdr:cNvSpPr>
          <a:spLocks/>
        </xdr:cNvSpPr>
      </xdr:nvSpPr>
      <xdr:spPr>
        <a:xfrm>
          <a:off x="840105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257175</xdr:colOff>
      <xdr:row>9</xdr:row>
      <xdr:rowOff>0</xdr:rowOff>
    </xdr:to>
    <xdr:sp>
      <xdr:nvSpPr>
        <xdr:cNvPr id="18" name="Rectangle 67"/>
        <xdr:cNvSpPr>
          <a:spLocks/>
        </xdr:cNvSpPr>
      </xdr:nvSpPr>
      <xdr:spPr>
        <a:xfrm>
          <a:off x="8401050" y="2190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533400</xdr:colOff>
      <xdr:row>47</xdr:row>
      <xdr:rowOff>190500</xdr:rowOff>
    </xdr:to>
    <xdr:sp>
      <xdr:nvSpPr>
        <xdr:cNvPr id="19" name="Rectangle 68"/>
        <xdr:cNvSpPr>
          <a:spLocks/>
        </xdr:cNvSpPr>
      </xdr:nvSpPr>
      <xdr:spPr>
        <a:xfrm>
          <a:off x="840105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533400</xdr:colOff>
      <xdr:row>34</xdr:row>
      <xdr:rowOff>209550</xdr:rowOff>
    </xdr:to>
    <xdr:sp>
      <xdr:nvSpPr>
        <xdr:cNvPr id="20" name="Rectangle 69"/>
        <xdr:cNvSpPr>
          <a:spLocks/>
        </xdr:cNvSpPr>
      </xdr:nvSpPr>
      <xdr:spPr>
        <a:xfrm>
          <a:off x="8401050" y="64865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533400</xdr:colOff>
      <xdr:row>8</xdr:row>
      <xdr:rowOff>209550</xdr:rowOff>
    </xdr:to>
    <xdr:sp>
      <xdr:nvSpPr>
        <xdr:cNvPr id="21" name="Rectangle 70"/>
        <xdr:cNvSpPr>
          <a:spLocks/>
        </xdr:cNvSpPr>
      </xdr:nvSpPr>
      <xdr:spPr>
        <a:xfrm>
          <a:off x="8401050" y="19621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9525</xdr:colOff>
      <xdr:row>54</xdr:row>
      <xdr:rowOff>180975</xdr:rowOff>
    </xdr:to>
    <xdr:sp>
      <xdr:nvSpPr>
        <xdr:cNvPr id="22" name="Rectangle 80"/>
        <xdr:cNvSpPr>
          <a:spLocks/>
        </xdr:cNvSpPr>
      </xdr:nvSpPr>
      <xdr:spPr>
        <a:xfrm>
          <a:off x="487680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9525</xdr:colOff>
      <xdr:row>47</xdr:row>
      <xdr:rowOff>190500</xdr:rowOff>
    </xdr:to>
    <xdr:sp>
      <xdr:nvSpPr>
        <xdr:cNvPr id="23" name="Rectangle 81"/>
        <xdr:cNvSpPr>
          <a:spLocks/>
        </xdr:cNvSpPr>
      </xdr:nvSpPr>
      <xdr:spPr>
        <a:xfrm>
          <a:off x="48768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533400</xdr:colOff>
      <xdr:row>54</xdr:row>
      <xdr:rowOff>180975</xdr:rowOff>
    </xdr:to>
    <xdr:sp>
      <xdr:nvSpPr>
        <xdr:cNvPr id="24" name="Rectangle 84"/>
        <xdr:cNvSpPr>
          <a:spLocks/>
        </xdr:cNvSpPr>
      </xdr:nvSpPr>
      <xdr:spPr>
        <a:xfrm>
          <a:off x="662940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533400</xdr:colOff>
      <xdr:row>47</xdr:row>
      <xdr:rowOff>190500</xdr:rowOff>
    </xdr:to>
    <xdr:sp>
      <xdr:nvSpPr>
        <xdr:cNvPr id="25" name="Rectangle 85"/>
        <xdr:cNvSpPr>
          <a:spLocks/>
        </xdr:cNvSpPr>
      </xdr:nvSpPr>
      <xdr:spPr>
        <a:xfrm>
          <a:off x="66294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533400</xdr:colOff>
      <xdr:row>54</xdr:row>
      <xdr:rowOff>180975</xdr:rowOff>
    </xdr:to>
    <xdr:sp>
      <xdr:nvSpPr>
        <xdr:cNvPr id="26" name="Rectangle 88"/>
        <xdr:cNvSpPr>
          <a:spLocks/>
        </xdr:cNvSpPr>
      </xdr:nvSpPr>
      <xdr:spPr>
        <a:xfrm>
          <a:off x="840105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533400</xdr:colOff>
      <xdr:row>47</xdr:row>
      <xdr:rowOff>190500</xdr:rowOff>
    </xdr:to>
    <xdr:sp>
      <xdr:nvSpPr>
        <xdr:cNvPr id="27" name="Rectangle 89"/>
        <xdr:cNvSpPr>
          <a:spLocks/>
        </xdr:cNvSpPr>
      </xdr:nvSpPr>
      <xdr:spPr>
        <a:xfrm>
          <a:off x="840105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12</xdr:col>
      <xdr:colOff>104775</xdr:colOff>
      <xdr:row>66</xdr:row>
      <xdr:rowOff>66675</xdr:rowOff>
    </xdr:from>
    <xdr:to>
      <xdr:col>13</xdr:col>
      <xdr:colOff>1381125</xdr:colOff>
      <xdr:row>69</xdr:row>
      <xdr:rowOff>638175</xdr:rowOff>
    </xdr:to>
    <xdr:sp>
      <xdr:nvSpPr>
        <xdr:cNvPr id="28" name="Text Box 92"/>
        <xdr:cNvSpPr txBox="1">
          <a:spLocks noChangeArrowheads="1"/>
        </xdr:cNvSpPr>
      </xdr:nvSpPr>
      <xdr:spPr>
        <a:xfrm>
          <a:off x="8505825" y="12506325"/>
          <a:ext cx="15525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Cover Class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Class Range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1                   0 - 3%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                  3 - 10%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3                 10 - 25%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4                25 - 50%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5                50 - 75%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6                75 - 100%</a:t>
          </a:r>
        </a:p>
      </xdr:txBody>
    </xdr:sp>
    <xdr:clientData/>
  </xdr:twoCellAnchor>
  <xdr:twoCellAnchor>
    <xdr:from>
      <xdr:col>1</xdr:col>
      <xdr:colOff>85725</xdr:colOff>
      <xdr:row>66</xdr:row>
      <xdr:rowOff>66675</xdr:rowOff>
    </xdr:from>
    <xdr:to>
      <xdr:col>12</xdr:col>
      <xdr:colOff>0</xdr:colOff>
      <xdr:row>69</xdr:row>
      <xdr:rowOff>152400</xdr:rowOff>
    </xdr:to>
    <xdr:sp>
      <xdr:nvSpPr>
        <xdr:cNvPr id="29" name="Text Box 93"/>
        <xdr:cNvSpPr txBox="1">
          <a:spLocks noChangeArrowheads="1"/>
        </xdr:cNvSpPr>
      </xdr:nvSpPr>
      <xdr:spPr>
        <a:xfrm>
          <a:off x="352425" y="12506325"/>
          <a:ext cx="8048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Floodplain Forest [1A, 2A, 3A] * Hardwood Swamp [3B]  *  Coniferous Bog [2A, 4B] *  Coniferous Swamp [4B]   *  Open Bog [1B, 5A, 5B, 6A, 7A, 9A, 10A]  *  Calcareous Fen [7B, 11B, 14A]  * Shrub Swamp [6B]  *  Alder Thicket [8A]   *  Shrub-carr [8B]   *  Sedge Meadow [10B, 11A, 12A, 13A]  * Shallow Marsh [13B]   *  Deep Marsh [12B]  *  Wet to Wet-Mesic Prairie [14B, 15A]  *  Fresh (Wet) Meadow [15B]  * Shallow, Open Water [9B, 16A]  * Seasonally Flooded Basin [16B]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9525</xdr:colOff>
      <xdr:row>47</xdr:row>
      <xdr:rowOff>190500</xdr:rowOff>
    </xdr:to>
    <xdr:sp>
      <xdr:nvSpPr>
        <xdr:cNvPr id="30" name="Rectangle 94"/>
        <xdr:cNvSpPr>
          <a:spLocks/>
        </xdr:cNvSpPr>
      </xdr:nvSpPr>
      <xdr:spPr>
        <a:xfrm>
          <a:off x="48768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533400</xdr:colOff>
      <xdr:row>47</xdr:row>
      <xdr:rowOff>190500</xdr:rowOff>
    </xdr:to>
    <xdr:sp>
      <xdr:nvSpPr>
        <xdr:cNvPr id="31" name="Rectangle 95"/>
        <xdr:cNvSpPr>
          <a:spLocks/>
        </xdr:cNvSpPr>
      </xdr:nvSpPr>
      <xdr:spPr>
        <a:xfrm>
          <a:off x="66294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533400</xdr:colOff>
      <xdr:row>47</xdr:row>
      <xdr:rowOff>190500</xdr:rowOff>
    </xdr:to>
    <xdr:sp>
      <xdr:nvSpPr>
        <xdr:cNvPr id="32" name="Rectangle 96"/>
        <xdr:cNvSpPr>
          <a:spLocks/>
        </xdr:cNvSpPr>
      </xdr:nvSpPr>
      <xdr:spPr>
        <a:xfrm>
          <a:off x="840105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9525</xdr:colOff>
      <xdr:row>47</xdr:row>
      <xdr:rowOff>190500</xdr:rowOff>
    </xdr:to>
    <xdr:sp>
      <xdr:nvSpPr>
        <xdr:cNvPr id="33" name="Rectangle 97"/>
        <xdr:cNvSpPr>
          <a:spLocks/>
        </xdr:cNvSpPr>
      </xdr:nvSpPr>
      <xdr:spPr>
        <a:xfrm>
          <a:off x="48768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533400</xdr:colOff>
      <xdr:row>47</xdr:row>
      <xdr:rowOff>190500</xdr:rowOff>
    </xdr:to>
    <xdr:sp>
      <xdr:nvSpPr>
        <xdr:cNvPr id="34" name="Rectangle 98"/>
        <xdr:cNvSpPr>
          <a:spLocks/>
        </xdr:cNvSpPr>
      </xdr:nvSpPr>
      <xdr:spPr>
        <a:xfrm>
          <a:off x="662940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533400</xdr:colOff>
      <xdr:row>47</xdr:row>
      <xdr:rowOff>190500</xdr:rowOff>
    </xdr:to>
    <xdr:sp>
      <xdr:nvSpPr>
        <xdr:cNvPr id="35" name="Rectangle 99"/>
        <xdr:cNvSpPr>
          <a:spLocks/>
        </xdr:cNvSpPr>
      </xdr:nvSpPr>
      <xdr:spPr>
        <a:xfrm>
          <a:off x="8401050" y="888682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9525</xdr:colOff>
      <xdr:row>54</xdr:row>
      <xdr:rowOff>180975</xdr:rowOff>
    </xdr:to>
    <xdr:sp>
      <xdr:nvSpPr>
        <xdr:cNvPr id="36" name="Rectangle 100"/>
        <xdr:cNvSpPr>
          <a:spLocks/>
        </xdr:cNvSpPr>
      </xdr:nvSpPr>
      <xdr:spPr>
        <a:xfrm>
          <a:off x="487680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533400</xdr:colOff>
      <xdr:row>54</xdr:row>
      <xdr:rowOff>180975</xdr:rowOff>
    </xdr:to>
    <xdr:sp>
      <xdr:nvSpPr>
        <xdr:cNvPr id="37" name="Rectangle 101"/>
        <xdr:cNvSpPr>
          <a:spLocks/>
        </xdr:cNvSpPr>
      </xdr:nvSpPr>
      <xdr:spPr>
        <a:xfrm>
          <a:off x="662940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533400</xdr:colOff>
      <xdr:row>54</xdr:row>
      <xdr:rowOff>180975</xdr:rowOff>
    </xdr:to>
    <xdr:sp>
      <xdr:nvSpPr>
        <xdr:cNvPr id="38" name="Rectangle 102"/>
        <xdr:cNvSpPr>
          <a:spLocks/>
        </xdr:cNvSpPr>
      </xdr:nvSpPr>
      <xdr:spPr>
        <a:xfrm>
          <a:off x="840105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9525</xdr:colOff>
      <xdr:row>54</xdr:row>
      <xdr:rowOff>180975</xdr:rowOff>
    </xdr:to>
    <xdr:sp>
      <xdr:nvSpPr>
        <xdr:cNvPr id="39" name="Rectangle 103"/>
        <xdr:cNvSpPr>
          <a:spLocks/>
        </xdr:cNvSpPr>
      </xdr:nvSpPr>
      <xdr:spPr>
        <a:xfrm>
          <a:off x="487680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54</xdr:row>
      <xdr:rowOff>0</xdr:rowOff>
    </xdr:from>
    <xdr:to>
      <xdr:col>8</xdr:col>
      <xdr:colOff>533400</xdr:colOff>
      <xdr:row>54</xdr:row>
      <xdr:rowOff>180975</xdr:rowOff>
    </xdr:to>
    <xdr:sp>
      <xdr:nvSpPr>
        <xdr:cNvPr id="40" name="Rectangle 104"/>
        <xdr:cNvSpPr>
          <a:spLocks/>
        </xdr:cNvSpPr>
      </xdr:nvSpPr>
      <xdr:spPr>
        <a:xfrm>
          <a:off x="662940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533400</xdr:colOff>
      <xdr:row>54</xdr:row>
      <xdr:rowOff>180975</xdr:rowOff>
    </xdr:to>
    <xdr:sp>
      <xdr:nvSpPr>
        <xdr:cNvPr id="41" name="Rectangle 105"/>
        <xdr:cNvSpPr>
          <a:spLocks/>
        </xdr:cNvSpPr>
      </xdr:nvSpPr>
      <xdr:spPr>
        <a:xfrm>
          <a:off x="8401050" y="10067925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9525</xdr:colOff>
      <xdr:row>46</xdr:row>
      <xdr:rowOff>209550</xdr:rowOff>
    </xdr:to>
    <xdr:sp>
      <xdr:nvSpPr>
        <xdr:cNvPr id="42" name="Rectangle 106"/>
        <xdr:cNvSpPr>
          <a:spLocks/>
        </xdr:cNvSpPr>
      </xdr:nvSpPr>
      <xdr:spPr>
        <a:xfrm>
          <a:off x="48768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533400</xdr:colOff>
      <xdr:row>46</xdr:row>
      <xdr:rowOff>209550</xdr:rowOff>
    </xdr:to>
    <xdr:sp>
      <xdr:nvSpPr>
        <xdr:cNvPr id="43" name="Rectangle 107"/>
        <xdr:cNvSpPr>
          <a:spLocks/>
        </xdr:cNvSpPr>
      </xdr:nvSpPr>
      <xdr:spPr>
        <a:xfrm>
          <a:off x="66294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533400</xdr:colOff>
      <xdr:row>46</xdr:row>
      <xdr:rowOff>209550</xdr:rowOff>
    </xdr:to>
    <xdr:sp>
      <xdr:nvSpPr>
        <xdr:cNvPr id="44" name="Rectangle 108"/>
        <xdr:cNvSpPr>
          <a:spLocks/>
        </xdr:cNvSpPr>
      </xdr:nvSpPr>
      <xdr:spPr>
        <a:xfrm>
          <a:off x="840105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9525</xdr:colOff>
      <xdr:row>46</xdr:row>
      <xdr:rowOff>209550</xdr:rowOff>
    </xdr:to>
    <xdr:sp>
      <xdr:nvSpPr>
        <xdr:cNvPr id="45" name="Rectangle 109"/>
        <xdr:cNvSpPr>
          <a:spLocks/>
        </xdr:cNvSpPr>
      </xdr:nvSpPr>
      <xdr:spPr>
        <a:xfrm>
          <a:off x="48768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533400</xdr:colOff>
      <xdr:row>46</xdr:row>
      <xdr:rowOff>209550</xdr:rowOff>
    </xdr:to>
    <xdr:sp>
      <xdr:nvSpPr>
        <xdr:cNvPr id="46" name="Rectangle 110"/>
        <xdr:cNvSpPr>
          <a:spLocks/>
        </xdr:cNvSpPr>
      </xdr:nvSpPr>
      <xdr:spPr>
        <a:xfrm>
          <a:off x="66294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533400</xdr:colOff>
      <xdr:row>46</xdr:row>
      <xdr:rowOff>209550</xdr:rowOff>
    </xdr:to>
    <xdr:sp>
      <xdr:nvSpPr>
        <xdr:cNvPr id="47" name="Rectangle 111"/>
        <xdr:cNvSpPr>
          <a:spLocks/>
        </xdr:cNvSpPr>
      </xdr:nvSpPr>
      <xdr:spPr>
        <a:xfrm>
          <a:off x="840105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9525</xdr:colOff>
      <xdr:row>46</xdr:row>
      <xdr:rowOff>209550</xdr:rowOff>
    </xdr:to>
    <xdr:sp>
      <xdr:nvSpPr>
        <xdr:cNvPr id="48" name="Rectangle 112"/>
        <xdr:cNvSpPr>
          <a:spLocks/>
        </xdr:cNvSpPr>
      </xdr:nvSpPr>
      <xdr:spPr>
        <a:xfrm>
          <a:off x="48768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533400</xdr:colOff>
      <xdr:row>46</xdr:row>
      <xdr:rowOff>209550</xdr:rowOff>
    </xdr:to>
    <xdr:sp>
      <xdr:nvSpPr>
        <xdr:cNvPr id="49" name="Rectangle 113"/>
        <xdr:cNvSpPr>
          <a:spLocks/>
        </xdr:cNvSpPr>
      </xdr:nvSpPr>
      <xdr:spPr>
        <a:xfrm>
          <a:off x="66294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533400</xdr:colOff>
      <xdr:row>46</xdr:row>
      <xdr:rowOff>209550</xdr:rowOff>
    </xdr:to>
    <xdr:sp>
      <xdr:nvSpPr>
        <xdr:cNvPr id="50" name="Rectangle 114"/>
        <xdr:cNvSpPr>
          <a:spLocks/>
        </xdr:cNvSpPr>
      </xdr:nvSpPr>
      <xdr:spPr>
        <a:xfrm>
          <a:off x="840105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9525</xdr:colOff>
      <xdr:row>46</xdr:row>
      <xdr:rowOff>209550</xdr:rowOff>
    </xdr:to>
    <xdr:sp>
      <xdr:nvSpPr>
        <xdr:cNvPr id="51" name="Rectangle 115"/>
        <xdr:cNvSpPr>
          <a:spLocks/>
        </xdr:cNvSpPr>
      </xdr:nvSpPr>
      <xdr:spPr>
        <a:xfrm>
          <a:off x="48768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533400</xdr:colOff>
      <xdr:row>46</xdr:row>
      <xdr:rowOff>209550</xdr:rowOff>
    </xdr:to>
    <xdr:sp>
      <xdr:nvSpPr>
        <xdr:cNvPr id="52" name="Rectangle 116"/>
        <xdr:cNvSpPr>
          <a:spLocks/>
        </xdr:cNvSpPr>
      </xdr:nvSpPr>
      <xdr:spPr>
        <a:xfrm>
          <a:off x="66294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533400</xdr:colOff>
      <xdr:row>46</xdr:row>
      <xdr:rowOff>209550</xdr:rowOff>
    </xdr:to>
    <xdr:sp>
      <xdr:nvSpPr>
        <xdr:cNvPr id="53" name="Rectangle 117"/>
        <xdr:cNvSpPr>
          <a:spLocks/>
        </xdr:cNvSpPr>
      </xdr:nvSpPr>
      <xdr:spPr>
        <a:xfrm>
          <a:off x="840105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oneCellAnchor>
    <xdr:from>
      <xdr:col>1</xdr:col>
      <xdr:colOff>9525</xdr:colOff>
      <xdr:row>69</xdr:row>
      <xdr:rowOff>390525</xdr:rowOff>
    </xdr:from>
    <xdr:ext cx="7934325" cy="257175"/>
    <xdr:sp>
      <xdr:nvSpPr>
        <xdr:cNvPr id="54" name="Text Box 118"/>
        <xdr:cNvSpPr txBox="1">
          <a:spLocks noChangeArrowheads="1"/>
        </xdr:cNvSpPr>
      </xdr:nvSpPr>
      <xdr:spPr>
        <a:xfrm>
          <a:off x="276225" y="13430250"/>
          <a:ext cx="793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*If there are more than four plant community types, use the next column over to enter the rest and do not rely on the automatic average calculations.</a:t>
          </a:r>
        </a:p>
      </xdr:txBody>
    </xdr:sp>
    <xdr:clientData/>
  </xdr:oneCellAnchor>
  <xdr:twoCellAnchor>
    <xdr:from>
      <xdr:col>5</xdr:col>
      <xdr:colOff>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55" name="Rectangle 119"/>
        <xdr:cNvSpPr>
          <a:spLocks/>
        </xdr:cNvSpPr>
      </xdr:nvSpPr>
      <xdr:spPr>
        <a:xfrm>
          <a:off x="48768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56" name="Rectangle 120"/>
        <xdr:cNvSpPr>
          <a:spLocks/>
        </xdr:cNvSpPr>
      </xdr:nvSpPr>
      <xdr:spPr>
        <a:xfrm>
          <a:off x="48768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57" name="Rectangle 121"/>
        <xdr:cNvSpPr>
          <a:spLocks/>
        </xdr:cNvSpPr>
      </xdr:nvSpPr>
      <xdr:spPr>
        <a:xfrm>
          <a:off x="48768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9525</xdr:colOff>
      <xdr:row>34</xdr:row>
      <xdr:rowOff>209550</xdr:rowOff>
    </xdr:to>
    <xdr:sp>
      <xdr:nvSpPr>
        <xdr:cNvPr id="58" name="Rectangle 122"/>
        <xdr:cNvSpPr>
          <a:spLocks/>
        </xdr:cNvSpPr>
      </xdr:nvSpPr>
      <xdr:spPr>
        <a:xfrm>
          <a:off x="4876800" y="64865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59" name="Rectangle 123"/>
        <xdr:cNvSpPr>
          <a:spLocks/>
        </xdr:cNvSpPr>
      </xdr:nvSpPr>
      <xdr:spPr>
        <a:xfrm>
          <a:off x="66294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257175</xdr:colOff>
      <xdr:row>35</xdr:row>
      <xdr:rowOff>0</xdr:rowOff>
    </xdr:to>
    <xdr:sp>
      <xdr:nvSpPr>
        <xdr:cNvPr id="60" name="Rectangle 124"/>
        <xdr:cNvSpPr>
          <a:spLocks/>
        </xdr:cNvSpPr>
      </xdr:nvSpPr>
      <xdr:spPr>
        <a:xfrm>
          <a:off x="66294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257175</xdr:colOff>
      <xdr:row>35</xdr:row>
      <xdr:rowOff>0</xdr:rowOff>
    </xdr:to>
    <xdr:sp>
      <xdr:nvSpPr>
        <xdr:cNvPr id="61" name="Rectangle 125"/>
        <xdr:cNvSpPr>
          <a:spLocks/>
        </xdr:cNvSpPr>
      </xdr:nvSpPr>
      <xdr:spPr>
        <a:xfrm>
          <a:off x="662940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533400</xdr:colOff>
      <xdr:row>34</xdr:row>
      <xdr:rowOff>209550</xdr:rowOff>
    </xdr:to>
    <xdr:sp>
      <xdr:nvSpPr>
        <xdr:cNvPr id="62" name="Rectangle 126"/>
        <xdr:cNvSpPr>
          <a:spLocks/>
        </xdr:cNvSpPr>
      </xdr:nvSpPr>
      <xdr:spPr>
        <a:xfrm>
          <a:off x="6629400" y="64865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514350</xdr:colOff>
      <xdr:row>35</xdr:row>
      <xdr:rowOff>0</xdr:rowOff>
    </xdr:to>
    <xdr:sp>
      <xdr:nvSpPr>
        <xdr:cNvPr id="63" name="Rectangle 127"/>
        <xdr:cNvSpPr>
          <a:spLocks/>
        </xdr:cNvSpPr>
      </xdr:nvSpPr>
      <xdr:spPr>
        <a:xfrm>
          <a:off x="840105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257175</xdr:colOff>
      <xdr:row>35</xdr:row>
      <xdr:rowOff>0</xdr:rowOff>
    </xdr:to>
    <xdr:sp>
      <xdr:nvSpPr>
        <xdr:cNvPr id="64" name="Rectangle 128"/>
        <xdr:cNvSpPr>
          <a:spLocks/>
        </xdr:cNvSpPr>
      </xdr:nvSpPr>
      <xdr:spPr>
        <a:xfrm>
          <a:off x="840105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257175</xdr:colOff>
      <xdr:row>35</xdr:row>
      <xdr:rowOff>0</xdr:rowOff>
    </xdr:to>
    <xdr:sp>
      <xdr:nvSpPr>
        <xdr:cNvPr id="65" name="Rectangle 129"/>
        <xdr:cNvSpPr>
          <a:spLocks/>
        </xdr:cNvSpPr>
      </xdr:nvSpPr>
      <xdr:spPr>
        <a:xfrm>
          <a:off x="8401050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533400</xdr:colOff>
      <xdr:row>34</xdr:row>
      <xdr:rowOff>209550</xdr:rowOff>
    </xdr:to>
    <xdr:sp>
      <xdr:nvSpPr>
        <xdr:cNvPr id="66" name="Rectangle 130"/>
        <xdr:cNvSpPr>
          <a:spLocks/>
        </xdr:cNvSpPr>
      </xdr:nvSpPr>
      <xdr:spPr>
        <a:xfrm>
          <a:off x="8401050" y="64865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67" name="Rectangle 131"/>
        <xdr:cNvSpPr>
          <a:spLocks/>
        </xdr:cNvSpPr>
      </xdr:nvSpPr>
      <xdr:spPr>
        <a:xfrm>
          <a:off x="487680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68" name="Rectangle 132"/>
        <xdr:cNvSpPr>
          <a:spLocks/>
        </xdr:cNvSpPr>
      </xdr:nvSpPr>
      <xdr:spPr>
        <a:xfrm>
          <a:off x="487680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69" name="Rectangle 133"/>
        <xdr:cNvSpPr>
          <a:spLocks/>
        </xdr:cNvSpPr>
      </xdr:nvSpPr>
      <xdr:spPr>
        <a:xfrm>
          <a:off x="487680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9525</xdr:colOff>
      <xdr:row>21</xdr:row>
      <xdr:rowOff>209550</xdr:rowOff>
    </xdr:to>
    <xdr:sp>
      <xdr:nvSpPr>
        <xdr:cNvPr id="70" name="Rectangle 134"/>
        <xdr:cNvSpPr>
          <a:spLocks/>
        </xdr:cNvSpPr>
      </xdr:nvSpPr>
      <xdr:spPr>
        <a:xfrm>
          <a:off x="4876800" y="41624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514350</xdr:colOff>
      <xdr:row>22</xdr:row>
      <xdr:rowOff>0</xdr:rowOff>
    </xdr:to>
    <xdr:sp>
      <xdr:nvSpPr>
        <xdr:cNvPr id="71" name="Rectangle 135"/>
        <xdr:cNvSpPr>
          <a:spLocks/>
        </xdr:cNvSpPr>
      </xdr:nvSpPr>
      <xdr:spPr>
        <a:xfrm>
          <a:off x="662940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72" name="Rectangle 136"/>
        <xdr:cNvSpPr>
          <a:spLocks/>
        </xdr:cNvSpPr>
      </xdr:nvSpPr>
      <xdr:spPr>
        <a:xfrm>
          <a:off x="662940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257175</xdr:colOff>
      <xdr:row>22</xdr:row>
      <xdr:rowOff>0</xdr:rowOff>
    </xdr:to>
    <xdr:sp>
      <xdr:nvSpPr>
        <xdr:cNvPr id="73" name="Rectangle 137"/>
        <xdr:cNvSpPr>
          <a:spLocks/>
        </xdr:cNvSpPr>
      </xdr:nvSpPr>
      <xdr:spPr>
        <a:xfrm>
          <a:off x="662940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533400</xdr:colOff>
      <xdr:row>21</xdr:row>
      <xdr:rowOff>209550</xdr:rowOff>
    </xdr:to>
    <xdr:sp>
      <xdr:nvSpPr>
        <xdr:cNvPr id="74" name="Rectangle 138"/>
        <xdr:cNvSpPr>
          <a:spLocks/>
        </xdr:cNvSpPr>
      </xdr:nvSpPr>
      <xdr:spPr>
        <a:xfrm>
          <a:off x="6629400" y="41624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514350</xdr:colOff>
      <xdr:row>22</xdr:row>
      <xdr:rowOff>0</xdr:rowOff>
    </xdr:to>
    <xdr:sp>
      <xdr:nvSpPr>
        <xdr:cNvPr id="75" name="Rectangle 139"/>
        <xdr:cNvSpPr>
          <a:spLocks/>
        </xdr:cNvSpPr>
      </xdr:nvSpPr>
      <xdr:spPr>
        <a:xfrm>
          <a:off x="840105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257175</xdr:colOff>
      <xdr:row>22</xdr:row>
      <xdr:rowOff>0</xdr:rowOff>
    </xdr:to>
    <xdr:sp>
      <xdr:nvSpPr>
        <xdr:cNvPr id="76" name="Rectangle 140"/>
        <xdr:cNvSpPr>
          <a:spLocks/>
        </xdr:cNvSpPr>
      </xdr:nvSpPr>
      <xdr:spPr>
        <a:xfrm>
          <a:off x="840105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257175</xdr:colOff>
      <xdr:row>22</xdr:row>
      <xdr:rowOff>0</xdr:rowOff>
    </xdr:to>
    <xdr:sp>
      <xdr:nvSpPr>
        <xdr:cNvPr id="77" name="Rectangle 141"/>
        <xdr:cNvSpPr>
          <a:spLocks/>
        </xdr:cNvSpPr>
      </xdr:nvSpPr>
      <xdr:spPr>
        <a:xfrm>
          <a:off x="8401050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533400</xdr:colOff>
      <xdr:row>21</xdr:row>
      <xdr:rowOff>209550</xdr:rowOff>
    </xdr:to>
    <xdr:sp>
      <xdr:nvSpPr>
        <xdr:cNvPr id="78" name="Rectangle 142"/>
        <xdr:cNvSpPr>
          <a:spLocks/>
        </xdr:cNvSpPr>
      </xdr:nvSpPr>
      <xdr:spPr>
        <a:xfrm>
          <a:off x="8401050" y="416242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9525</xdr:colOff>
      <xdr:row>46</xdr:row>
      <xdr:rowOff>209550</xdr:rowOff>
    </xdr:to>
    <xdr:sp>
      <xdr:nvSpPr>
        <xdr:cNvPr id="79" name="Rectangle 143"/>
        <xdr:cNvSpPr>
          <a:spLocks/>
        </xdr:cNvSpPr>
      </xdr:nvSpPr>
      <xdr:spPr>
        <a:xfrm>
          <a:off x="48768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533400</xdr:colOff>
      <xdr:row>46</xdr:row>
      <xdr:rowOff>209550</xdr:rowOff>
    </xdr:to>
    <xdr:sp>
      <xdr:nvSpPr>
        <xdr:cNvPr id="80" name="Rectangle 144"/>
        <xdr:cNvSpPr>
          <a:spLocks/>
        </xdr:cNvSpPr>
      </xdr:nvSpPr>
      <xdr:spPr>
        <a:xfrm>
          <a:off x="66294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533400</xdr:colOff>
      <xdr:row>46</xdr:row>
      <xdr:rowOff>209550</xdr:rowOff>
    </xdr:to>
    <xdr:sp>
      <xdr:nvSpPr>
        <xdr:cNvPr id="81" name="Rectangle 145"/>
        <xdr:cNvSpPr>
          <a:spLocks/>
        </xdr:cNvSpPr>
      </xdr:nvSpPr>
      <xdr:spPr>
        <a:xfrm>
          <a:off x="840105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82" name="Rectangle 146"/>
        <xdr:cNvSpPr>
          <a:spLocks/>
        </xdr:cNvSpPr>
      </xdr:nvSpPr>
      <xdr:spPr>
        <a:xfrm>
          <a:off x="487680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83" name="Rectangle 147"/>
        <xdr:cNvSpPr>
          <a:spLocks/>
        </xdr:cNvSpPr>
      </xdr:nvSpPr>
      <xdr:spPr>
        <a:xfrm>
          <a:off x="487680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84" name="Rectangle 148"/>
        <xdr:cNvSpPr>
          <a:spLocks/>
        </xdr:cNvSpPr>
      </xdr:nvSpPr>
      <xdr:spPr>
        <a:xfrm>
          <a:off x="487680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9525</xdr:colOff>
      <xdr:row>46</xdr:row>
      <xdr:rowOff>209550</xdr:rowOff>
    </xdr:to>
    <xdr:sp>
      <xdr:nvSpPr>
        <xdr:cNvPr id="85" name="Rectangle 149"/>
        <xdr:cNvSpPr>
          <a:spLocks/>
        </xdr:cNvSpPr>
      </xdr:nvSpPr>
      <xdr:spPr>
        <a:xfrm>
          <a:off x="48768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86" name="Rectangle 150"/>
        <xdr:cNvSpPr>
          <a:spLocks/>
        </xdr:cNvSpPr>
      </xdr:nvSpPr>
      <xdr:spPr>
        <a:xfrm>
          <a:off x="662940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257175</xdr:colOff>
      <xdr:row>47</xdr:row>
      <xdr:rowOff>0</xdr:rowOff>
    </xdr:to>
    <xdr:sp>
      <xdr:nvSpPr>
        <xdr:cNvPr id="87" name="Rectangle 151"/>
        <xdr:cNvSpPr>
          <a:spLocks/>
        </xdr:cNvSpPr>
      </xdr:nvSpPr>
      <xdr:spPr>
        <a:xfrm>
          <a:off x="662940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257175</xdr:colOff>
      <xdr:row>47</xdr:row>
      <xdr:rowOff>0</xdr:rowOff>
    </xdr:to>
    <xdr:sp>
      <xdr:nvSpPr>
        <xdr:cNvPr id="88" name="Rectangle 152"/>
        <xdr:cNvSpPr>
          <a:spLocks/>
        </xdr:cNvSpPr>
      </xdr:nvSpPr>
      <xdr:spPr>
        <a:xfrm>
          <a:off x="662940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533400</xdr:colOff>
      <xdr:row>46</xdr:row>
      <xdr:rowOff>209550</xdr:rowOff>
    </xdr:to>
    <xdr:sp>
      <xdr:nvSpPr>
        <xdr:cNvPr id="89" name="Rectangle 153"/>
        <xdr:cNvSpPr>
          <a:spLocks/>
        </xdr:cNvSpPr>
      </xdr:nvSpPr>
      <xdr:spPr>
        <a:xfrm>
          <a:off x="662940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514350</xdr:colOff>
      <xdr:row>47</xdr:row>
      <xdr:rowOff>0</xdr:rowOff>
    </xdr:to>
    <xdr:sp>
      <xdr:nvSpPr>
        <xdr:cNvPr id="90" name="Rectangle 154"/>
        <xdr:cNvSpPr>
          <a:spLocks/>
        </xdr:cNvSpPr>
      </xdr:nvSpPr>
      <xdr:spPr>
        <a:xfrm>
          <a:off x="840105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257175</xdr:colOff>
      <xdr:row>47</xdr:row>
      <xdr:rowOff>0</xdr:rowOff>
    </xdr:to>
    <xdr:sp>
      <xdr:nvSpPr>
        <xdr:cNvPr id="91" name="Rectangle 155"/>
        <xdr:cNvSpPr>
          <a:spLocks/>
        </xdr:cNvSpPr>
      </xdr:nvSpPr>
      <xdr:spPr>
        <a:xfrm>
          <a:off x="840105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257175</xdr:colOff>
      <xdr:row>47</xdr:row>
      <xdr:rowOff>0</xdr:rowOff>
    </xdr:to>
    <xdr:sp>
      <xdr:nvSpPr>
        <xdr:cNvPr id="92" name="Rectangle 156"/>
        <xdr:cNvSpPr>
          <a:spLocks/>
        </xdr:cNvSpPr>
      </xdr:nvSpPr>
      <xdr:spPr>
        <a:xfrm>
          <a:off x="8401050" y="8886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533400</xdr:colOff>
      <xdr:row>46</xdr:row>
      <xdr:rowOff>209550</xdr:rowOff>
    </xdr:to>
    <xdr:sp>
      <xdr:nvSpPr>
        <xdr:cNvPr id="93" name="Rectangle 157"/>
        <xdr:cNvSpPr>
          <a:spLocks/>
        </xdr:cNvSpPr>
      </xdr:nvSpPr>
      <xdr:spPr>
        <a:xfrm>
          <a:off x="8401050" y="8667750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:</a:t>
          </a:r>
        </a:p>
      </xdr:txBody>
    </xdr:sp>
    <xdr:clientData/>
  </xdr:twoCellAnchor>
  <xdr:twoCellAnchor>
    <xdr:from>
      <xdr:col>3</xdr:col>
      <xdr:colOff>47625</xdr:colOff>
      <xdr:row>3</xdr:row>
      <xdr:rowOff>28575</xdr:rowOff>
    </xdr:from>
    <xdr:to>
      <xdr:col>4</xdr:col>
      <xdr:colOff>1381125</xdr:colOff>
      <xdr:row>5</xdr:row>
      <xdr:rowOff>38100</xdr:rowOff>
    </xdr:to>
    <xdr:sp>
      <xdr:nvSpPr>
        <xdr:cNvPr id="94" name="Text Box 158"/>
        <xdr:cNvSpPr txBox="1">
          <a:spLocks noChangeArrowheads="1"/>
        </xdr:cNvSpPr>
      </xdr:nvSpPr>
      <xdr:spPr>
        <a:xfrm>
          <a:off x="3105150" y="647700"/>
          <a:ext cx="1619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Wetland name / 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</a:t>
          </a:r>
        </a:p>
      </xdr:txBody>
    </xdr:sp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1343025</xdr:colOff>
      <xdr:row>5</xdr:row>
      <xdr:rowOff>19050</xdr:rowOff>
    </xdr:to>
    <xdr:sp>
      <xdr:nvSpPr>
        <xdr:cNvPr id="95" name="Text Box 159"/>
        <xdr:cNvSpPr txBox="1">
          <a:spLocks noChangeArrowheads="1"/>
        </xdr:cNvSpPr>
      </xdr:nvSpPr>
      <xdr:spPr>
        <a:xfrm>
          <a:off x="4886325" y="628650"/>
          <a:ext cx="1619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Wetland name / 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___________________</a:t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10</xdr:col>
      <xdr:colOff>1343025</xdr:colOff>
      <xdr:row>5</xdr:row>
      <xdr:rowOff>19050</xdr:rowOff>
    </xdr:to>
    <xdr:sp>
      <xdr:nvSpPr>
        <xdr:cNvPr id="96" name="Text Box 160"/>
        <xdr:cNvSpPr txBox="1">
          <a:spLocks noChangeArrowheads="1"/>
        </xdr:cNvSpPr>
      </xdr:nvSpPr>
      <xdr:spPr>
        <a:xfrm>
          <a:off x="6638925" y="628650"/>
          <a:ext cx="1619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Wetland name / 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__________________</a:t>
          </a:r>
        </a:p>
      </xdr:txBody>
    </xdr:sp>
    <xdr:clientData/>
  </xdr:twoCellAnchor>
  <xdr:twoCellAnchor>
    <xdr:from>
      <xdr:col>12</xdr:col>
      <xdr:colOff>9525</xdr:colOff>
      <xdr:row>3</xdr:row>
      <xdr:rowOff>9525</xdr:rowOff>
    </xdr:from>
    <xdr:to>
      <xdr:col>13</xdr:col>
      <xdr:colOff>1352550</xdr:colOff>
      <xdr:row>5</xdr:row>
      <xdr:rowOff>19050</xdr:rowOff>
    </xdr:to>
    <xdr:sp>
      <xdr:nvSpPr>
        <xdr:cNvPr id="97" name="Text Box 161"/>
        <xdr:cNvSpPr txBox="1">
          <a:spLocks noChangeArrowheads="1"/>
        </xdr:cNvSpPr>
      </xdr:nvSpPr>
      <xdr:spPr>
        <a:xfrm>
          <a:off x="8410575" y="628650"/>
          <a:ext cx="1619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Wetland name / 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__________________</a:t>
          </a:r>
        </a:p>
      </xdr:txBody>
    </xdr:sp>
    <xdr:clientData/>
  </xdr:twoCellAnchor>
  <xdr:twoCellAnchor>
    <xdr:from>
      <xdr:col>7</xdr:col>
      <xdr:colOff>1266825</xdr:colOff>
      <xdr:row>1</xdr:row>
      <xdr:rowOff>0</xdr:rowOff>
    </xdr:from>
    <xdr:to>
      <xdr:col>13</xdr:col>
      <xdr:colOff>1190625</xdr:colOff>
      <xdr:row>2</xdr:row>
      <xdr:rowOff>57150</xdr:rowOff>
    </xdr:to>
    <xdr:sp>
      <xdr:nvSpPr>
        <xdr:cNvPr id="98" name="Text Box 162"/>
        <xdr:cNvSpPr txBox="1">
          <a:spLocks noChangeArrowheads="1"/>
        </xdr:cNvSpPr>
      </xdr:nvSpPr>
      <xdr:spPr>
        <a:xfrm>
          <a:off x="6429375" y="161925"/>
          <a:ext cx="3438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the site presents more than one Special Feature, this worksheet may not adequately  evaluate function: use the Access database.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</xdr:row>
      <xdr:rowOff>142875</xdr:rowOff>
    </xdr:from>
    <xdr:ext cx="2333625" cy="542925"/>
    <xdr:sp>
      <xdr:nvSpPr>
        <xdr:cNvPr id="1" name="Text Box 1"/>
        <xdr:cNvSpPr txBox="1">
          <a:spLocks noChangeArrowheads="1"/>
        </xdr:cNvSpPr>
      </xdr:nvSpPr>
      <xdr:spPr>
        <a:xfrm>
          <a:off x="4800600" y="590550"/>
          <a:ext cx="23336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comes in from Side 1  automatically using the weighted average.  To use the highest rated veg. Community rating, please manually overwrite that value (shown to the right) into the field at E5.
</a:t>
          </a:r>
        </a:p>
      </xdr:txBody>
    </xdr:sp>
    <xdr:clientData/>
  </xdr:oneCellAnchor>
  <xdr:twoCellAnchor>
    <xdr:from>
      <xdr:col>4</xdr:col>
      <xdr:colOff>9525</xdr:colOff>
      <xdr:row>11</xdr:row>
      <xdr:rowOff>85725</xdr:rowOff>
    </xdr:from>
    <xdr:to>
      <xdr:col>10</xdr:col>
      <xdr:colOff>323850</xdr:colOff>
      <xdr:row>13</xdr:row>
      <xdr:rowOff>152400</xdr:rowOff>
    </xdr:to>
    <xdr:grpSp>
      <xdr:nvGrpSpPr>
        <xdr:cNvPr id="2" name="Group 11"/>
        <xdr:cNvGrpSpPr>
          <a:grpSpLocks/>
        </xdr:cNvGrpSpPr>
      </xdr:nvGrpSpPr>
      <xdr:grpSpPr>
        <a:xfrm>
          <a:off x="3752850" y="2095500"/>
          <a:ext cx="2847975" cy="390525"/>
          <a:chOff x="388" y="255"/>
          <a:chExt cx="299" cy="41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388" y="266"/>
            <a:ext cx="114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56" y="255"/>
            <a:ext cx="231" cy="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Enter data starting here.  Yellow boxes are used in calculations.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  <xdr:oneCellAnchor>
    <xdr:from>
      <xdr:col>1</xdr:col>
      <xdr:colOff>0</xdr:colOff>
      <xdr:row>94</xdr:row>
      <xdr:rowOff>85725</xdr:rowOff>
    </xdr:from>
    <xdr:ext cx="85725" cy="180975"/>
    <xdr:sp fLocksText="0">
      <xdr:nvSpPr>
        <xdr:cNvPr id="5" name="Text Box 10"/>
        <xdr:cNvSpPr txBox="1">
          <a:spLocks noChangeArrowheads="1"/>
        </xdr:cNvSpPr>
      </xdr:nvSpPr>
      <xdr:spPr>
        <a:xfrm>
          <a:off x="390525" y="167830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152400</xdr:colOff>
      <xdr:row>21</xdr:row>
      <xdr:rowOff>152400</xdr:rowOff>
    </xdr:from>
    <xdr:to>
      <xdr:col>15</xdr:col>
      <xdr:colOff>333375</xdr:colOff>
      <xdr:row>40</xdr:row>
      <xdr:rowOff>123825</xdr:rowOff>
    </xdr:to>
    <xdr:grpSp>
      <xdr:nvGrpSpPr>
        <xdr:cNvPr id="6" name="Group 14"/>
        <xdr:cNvGrpSpPr>
          <a:grpSpLocks/>
        </xdr:cNvGrpSpPr>
      </xdr:nvGrpSpPr>
      <xdr:grpSpPr>
        <a:xfrm>
          <a:off x="6762750" y="3800475"/>
          <a:ext cx="1304925" cy="4400550"/>
          <a:chOff x="726" y="310"/>
          <a:chExt cx="137" cy="311"/>
        </a:xfrm>
        <a:solidFill>
          <a:srgbClr val="FFFFFF"/>
        </a:solidFill>
      </xdr:grpSpPr>
      <xdr:sp>
        <xdr:nvSpPr>
          <xdr:cNvPr id="7" name="Text Box 12"/>
          <xdr:cNvSpPr txBox="1">
            <a:spLocks noChangeArrowheads="1"/>
          </xdr:cNvSpPr>
        </xdr:nvSpPr>
        <xdr:spPr>
          <a:xfrm>
            <a:off x="726" y="310"/>
            <a:ext cx="137" cy="3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54864" tIns="41148" rIns="54864" bIns="0"/>
          <a:p>
            <a:pPr algn="ctr">
              <a:defRPr/>
            </a:pPr>
            <a:r>
              <a:rPr lang="en-US" cap="none" sz="1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Scroll 
</a:t>
            </a:r>
            <a:r>
              <a:rPr lang="en-US" cap="none" sz="1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down to answer more questions and see formula calculations</a:t>
            </a:r>
          </a:p>
        </xdr:txBody>
      </xdr:sp>
      <xdr:sp>
        <xdr:nvSpPr>
          <xdr:cNvPr id="8" name="AutoShape 13"/>
          <xdr:cNvSpPr>
            <a:spLocks/>
          </xdr:cNvSpPr>
        </xdr:nvSpPr>
        <xdr:spPr>
          <a:xfrm>
            <a:off x="770" y="554"/>
            <a:ext cx="46" cy="62"/>
          </a:xfrm>
          <a:prstGeom prst="downArrow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77</xdr:row>
      <xdr:rowOff>0</xdr:rowOff>
    </xdr:from>
    <xdr:to>
      <xdr:col>18</xdr:col>
      <xdr:colOff>28575</xdr:colOff>
      <xdr:row>108</xdr:row>
      <xdr:rowOff>152400</xdr:rowOff>
    </xdr:to>
    <xdr:sp>
      <xdr:nvSpPr>
        <xdr:cNvPr id="9" name="Rectangle 15"/>
        <xdr:cNvSpPr>
          <a:spLocks/>
        </xdr:cNvSpPr>
      </xdr:nvSpPr>
      <xdr:spPr>
        <a:xfrm>
          <a:off x="8486775" y="13992225"/>
          <a:ext cx="304800" cy="5324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are the formulas for the f inal functional ratings shown at the left.</a:t>
          </a:r>
        </a:p>
      </xdr:txBody>
    </xdr:sp>
    <xdr:clientData/>
  </xdr:twoCellAnchor>
  <xdr:twoCellAnchor>
    <xdr:from>
      <xdr:col>4</xdr:col>
      <xdr:colOff>495300</xdr:colOff>
      <xdr:row>3</xdr:row>
      <xdr:rowOff>76200</xdr:rowOff>
    </xdr:from>
    <xdr:to>
      <xdr:col>6</xdr:col>
      <xdr:colOff>28575</xdr:colOff>
      <xdr:row>4</xdr:row>
      <xdr:rowOff>28575</xdr:rowOff>
    </xdr:to>
    <xdr:sp>
      <xdr:nvSpPr>
        <xdr:cNvPr id="10" name="Line 2"/>
        <xdr:cNvSpPr>
          <a:spLocks/>
        </xdr:cNvSpPr>
      </xdr:nvSpPr>
      <xdr:spPr>
        <a:xfrm flipH="1">
          <a:off x="4238625" y="695325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75"/>
  <sheetViews>
    <sheetView tabSelected="1" zoomScale="75" zoomScaleNormal="75" zoomScalePageLayoutView="0" workbookViewId="0" topLeftCell="A1">
      <selection activeCell="D37" sqref="D37:E37"/>
    </sheetView>
  </sheetViews>
  <sheetFormatPr defaultColWidth="9.140625" defaultRowHeight="12.75"/>
  <cols>
    <col min="1" max="1" width="4.00390625" style="0" customWidth="1"/>
    <col min="2" max="2" width="5.7109375" style="24" customWidth="1"/>
    <col min="3" max="3" width="36.140625" style="0" customWidth="1"/>
    <col min="4" max="4" width="4.28125" style="0" customWidth="1"/>
    <col min="5" max="5" width="23.00390625" style="0" customWidth="1"/>
    <col min="6" max="6" width="0.13671875" style="0" hidden="1" customWidth="1"/>
    <col min="7" max="7" width="4.28125" style="0" customWidth="1"/>
    <col min="8" max="8" width="22.00390625" style="0" customWidth="1"/>
    <col min="9" max="9" width="18.7109375" style="0" hidden="1" customWidth="1"/>
    <col min="10" max="10" width="4.28125" style="0" customWidth="1"/>
    <col min="11" max="11" width="22.28125" style="0" customWidth="1"/>
    <col min="12" max="12" width="18.7109375" style="0" hidden="1" customWidth="1"/>
    <col min="13" max="13" width="4.140625" style="0" customWidth="1"/>
    <col min="14" max="14" width="22.00390625" style="0" customWidth="1"/>
    <col min="15" max="15" width="18.7109375" style="0" hidden="1" customWidth="1"/>
    <col min="18" max="18" width="5.8515625" style="0" customWidth="1"/>
    <col min="19" max="19" width="27.28125" style="0" customWidth="1"/>
    <col min="22" max="22" width="105.7109375" style="0" customWidth="1"/>
  </cols>
  <sheetData>
    <row r="2" spans="3:4" ht="22.5">
      <c r="C2" s="403" t="s">
        <v>397</v>
      </c>
      <c r="D2" s="6"/>
    </row>
    <row r="3" spans="2:15" ht="13.5" thickBot="1">
      <c r="B3" s="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26.25" customHeight="1">
      <c r="B4" s="59"/>
      <c r="C4" s="16" t="s">
        <v>21</v>
      </c>
      <c r="D4" s="475"/>
      <c r="E4" s="489"/>
      <c r="F4" s="60" t="s">
        <v>77</v>
      </c>
      <c r="G4" s="475"/>
      <c r="H4" s="476"/>
      <c r="I4" s="60" t="s">
        <v>77</v>
      </c>
      <c r="J4" s="475"/>
      <c r="K4" s="476"/>
      <c r="L4" s="13" t="s">
        <v>19</v>
      </c>
      <c r="M4" s="475"/>
      <c r="N4" s="476"/>
      <c r="O4" s="5"/>
    </row>
    <row r="5" spans="1:15" ht="3.75" customHeight="1">
      <c r="A5" s="34"/>
      <c r="B5" s="35"/>
      <c r="C5" s="36"/>
      <c r="D5" s="490"/>
      <c r="E5" s="491"/>
      <c r="F5" s="37" t="s">
        <v>6</v>
      </c>
      <c r="G5" s="477"/>
      <c r="H5" s="478"/>
      <c r="I5" s="37" t="s">
        <v>6</v>
      </c>
      <c r="J5" s="477"/>
      <c r="K5" s="478"/>
      <c r="L5" s="37" t="s">
        <v>6</v>
      </c>
      <c r="M5" s="479"/>
      <c r="N5" s="480"/>
      <c r="O5" s="5" t="s">
        <v>6</v>
      </c>
    </row>
    <row r="6" spans="2:15" ht="12.75">
      <c r="B6" s="26"/>
      <c r="C6" s="33" t="s">
        <v>354</v>
      </c>
      <c r="D6" s="234" t="s">
        <v>138</v>
      </c>
      <c r="E6" s="221" t="str">
        <f>VLOOKUP(D6,$U$8:$V$29,2,FALSE)</f>
        <v>____</v>
      </c>
      <c r="F6" s="9"/>
      <c r="G6" s="235" t="s">
        <v>138</v>
      </c>
      <c r="H6" s="221" t="str">
        <f>VLOOKUP(G6,$U$8:$V$29,2,FALSE)</f>
        <v>____</v>
      </c>
      <c r="I6" s="9"/>
      <c r="J6" s="235" t="s">
        <v>138</v>
      </c>
      <c r="K6" s="221" t="str">
        <f>VLOOKUP(J6,$U$8:$V$29,2,FALSE)</f>
        <v>____</v>
      </c>
      <c r="L6" s="9"/>
      <c r="M6" s="235" t="s">
        <v>138</v>
      </c>
      <c r="N6" s="221" t="str">
        <f>VLOOKUP(M6,$U$8:$V$29,2,FALSE)</f>
        <v>____</v>
      </c>
      <c r="O6" s="5"/>
    </row>
    <row r="7" spans="1:21" ht="48" customHeight="1">
      <c r="A7" s="8"/>
      <c r="B7" s="38" t="s">
        <v>73</v>
      </c>
      <c r="C7" s="72" t="s">
        <v>79</v>
      </c>
      <c r="D7" s="481" t="s">
        <v>9</v>
      </c>
      <c r="E7" s="482"/>
      <c r="F7" s="40" t="s">
        <v>9</v>
      </c>
      <c r="G7" s="481" t="s">
        <v>9</v>
      </c>
      <c r="H7" s="482"/>
      <c r="I7" s="40" t="s">
        <v>9</v>
      </c>
      <c r="J7" s="481" t="s">
        <v>9</v>
      </c>
      <c r="K7" s="482"/>
      <c r="L7" s="40" t="s">
        <v>9</v>
      </c>
      <c r="M7" s="481" t="s">
        <v>9</v>
      </c>
      <c r="N7" s="483"/>
      <c r="O7" s="7"/>
      <c r="P7" s="19"/>
      <c r="Q7" s="19"/>
      <c r="R7" s="80" t="s">
        <v>88</v>
      </c>
      <c r="U7" s="203" t="s">
        <v>204</v>
      </c>
    </row>
    <row r="8" spans="1:23" ht="15" customHeight="1">
      <c r="A8" s="8"/>
      <c r="B8" s="484" t="s">
        <v>83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0"/>
      <c r="O8" s="7"/>
      <c r="P8" s="19"/>
      <c r="Q8" s="19"/>
      <c r="R8" s="81" t="s">
        <v>89</v>
      </c>
      <c r="S8" s="82" t="s">
        <v>90</v>
      </c>
      <c r="U8" t="s">
        <v>205</v>
      </c>
      <c r="V8" t="s">
        <v>206</v>
      </c>
      <c r="W8" t="s">
        <v>235</v>
      </c>
    </row>
    <row r="9" spans="2:23" ht="18" customHeight="1">
      <c r="B9" s="486" t="s">
        <v>70</v>
      </c>
      <c r="C9" s="76" t="s">
        <v>84</v>
      </c>
      <c r="D9" s="233" t="s">
        <v>138</v>
      </c>
      <c r="E9" s="89" t="str">
        <f>VLOOKUP(D9,$R$8:$S$40,2,FALSE)</f>
        <v>-</v>
      </c>
      <c r="F9" s="55"/>
      <c r="G9" s="233" t="s">
        <v>138</v>
      </c>
      <c r="H9" s="89" t="str">
        <f>VLOOKUP(G9,$R$8:$S$40,2,FALSE)</f>
        <v>-</v>
      </c>
      <c r="I9" s="55"/>
      <c r="J9" s="233" t="s">
        <v>138</v>
      </c>
      <c r="K9" s="89" t="str">
        <f>VLOOKUP(J9,$R$8:$S$40,2,FALSE)</f>
        <v>-</v>
      </c>
      <c r="L9" s="55"/>
      <c r="M9" s="233" t="s">
        <v>138</v>
      </c>
      <c r="N9" s="90" t="str">
        <f>VLOOKUP(M9,$R$8:$S$40,2,FALSE)</f>
        <v>-</v>
      </c>
      <c r="O9" s="3" t="s">
        <v>15</v>
      </c>
      <c r="P9" s="19"/>
      <c r="Q9" s="19"/>
      <c r="R9" s="83" t="s">
        <v>91</v>
      </c>
      <c r="S9" s="84" t="s">
        <v>90</v>
      </c>
      <c r="U9" t="s">
        <v>207</v>
      </c>
      <c r="V9" t="s">
        <v>208</v>
      </c>
      <c r="W9" t="s">
        <v>236</v>
      </c>
    </row>
    <row r="10" spans="2:22" ht="16.5" customHeight="1">
      <c r="B10" s="487"/>
      <c r="C10" s="71" t="s">
        <v>85</v>
      </c>
      <c r="D10" s="474"/>
      <c r="E10" s="447"/>
      <c r="F10" s="79">
        <v>1</v>
      </c>
      <c r="G10" s="474"/>
      <c r="H10" s="447"/>
      <c r="I10" s="79">
        <v>1</v>
      </c>
      <c r="J10" s="474"/>
      <c r="K10" s="447"/>
      <c r="L10" s="79">
        <v>1</v>
      </c>
      <c r="M10" s="474"/>
      <c r="N10" s="452"/>
      <c r="O10" s="3"/>
      <c r="P10" s="19"/>
      <c r="Q10" s="19"/>
      <c r="R10" s="83" t="s">
        <v>92</v>
      </c>
      <c r="S10" s="84" t="s">
        <v>90</v>
      </c>
      <c r="U10" t="s">
        <v>209</v>
      </c>
      <c r="V10" t="s">
        <v>210</v>
      </c>
    </row>
    <row r="11" spans="2:23" ht="18" customHeight="1">
      <c r="B11" s="487"/>
      <c r="C11" s="76" t="s">
        <v>191</v>
      </c>
      <c r="D11" s="465"/>
      <c r="E11" s="466"/>
      <c r="F11" s="236"/>
      <c r="G11" s="465"/>
      <c r="H11" s="466"/>
      <c r="I11" s="236"/>
      <c r="J11" s="465"/>
      <c r="K11" s="466"/>
      <c r="L11" s="236"/>
      <c r="M11" s="465"/>
      <c r="N11" s="467"/>
      <c r="O11" s="3"/>
      <c r="P11" s="19"/>
      <c r="Q11" s="19"/>
      <c r="R11" s="83" t="s">
        <v>93</v>
      </c>
      <c r="S11" s="84" t="s">
        <v>94</v>
      </c>
      <c r="U11" t="s">
        <v>211</v>
      </c>
      <c r="V11" t="s">
        <v>212</v>
      </c>
      <c r="W11" t="s">
        <v>236</v>
      </c>
    </row>
    <row r="12" spans="2:22" ht="11.25" customHeight="1">
      <c r="B12" s="487"/>
      <c r="C12" s="71"/>
      <c r="D12" s="471"/>
      <c r="E12" s="472"/>
      <c r="F12" s="237"/>
      <c r="G12" s="471"/>
      <c r="H12" s="472"/>
      <c r="I12" s="237"/>
      <c r="J12" s="471"/>
      <c r="K12" s="472"/>
      <c r="L12" s="237"/>
      <c r="M12" s="471"/>
      <c r="N12" s="473"/>
      <c r="O12" s="3"/>
      <c r="P12" s="19"/>
      <c r="Q12" s="19"/>
      <c r="R12" s="83" t="s">
        <v>95</v>
      </c>
      <c r="S12" s="84" t="s">
        <v>96</v>
      </c>
      <c r="U12" t="s">
        <v>213</v>
      </c>
      <c r="V12" t="s">
        <v>214</v>
      </c>
    </row>
    <row r="13" spans="2:22" ht="11.25" customHeight="1">
      <c r="B13" s="487"/>
      <c r="C13" s="103"/>
      <c r="D13" s="471"/>
      <c r="E13" s="472"/>
      <c r="F13" s="237"/>
      <c r="G13" s="471"/>
      <c r="H13" s="472"/>
      <c r="I13" s="237"/>
      <c r="J13" s="471"/>
      <c r="K13" s="472"/>
      <c r="L13" s="237"/>
      <c r="M13" s="471"/>
      <c r="N13" s="473"/>
      <c r="O13" s="3"/>
      <c r="P13" s="19"/>
      <c r="Q13" s="19"/>
      <c r="R13" s="83" t="s">
        <v>97</v>
      </c>
      <c r="S13" s="84" t="s">
        <v>96</v>
      </c>
      <c r="U13" t="s">
        <v>215</v>
      </c>
      <c r="V13" t="s">
        <v>216</v>
      </c>
    </row>
    <row r="14" spans="2:23" ht="11.25" customHeight="1">
      <c r="B14" s="487"/>
      <c r="C14" s="103"/>
      <c r="D14" s="471"/>
      <c r="E14" s="472"/>
      <c r="F14" s="237"/>
      <c r="G14" s="471"/>
      <c r="H14" s="472"/>
      <c r="I14" s="237"/>
      <c r="J14" s="471"/>
      <c r="K14" s="472"/>
      <c r="L14" s="237"/>
      <c r="M14" s="471"/>
      <c r="N14" s="473"/>
      <c r="O14" s="3"/>
      <c r="P14" s="19"/>
      <c r="Q14" s="19"/>
      <c r="R14" s="83" t="s">
        <v>98</v>
      </c>
      <c r="S14" s="84" t="s">
        <v>99</v>
      </c>
      <c r="U14" t="s">
        <v>217</v>
      </c>
      <c r="V14" t="s">
        <v>281</v>
      </c>
      <c r="W14" t="s">
        <v>237</v>
      </c>
    </row>
    <row r="15" spans="2:23" ht="11.25" customHeight="1">
      <c r="B15" s="487"/>
      <c r="C15" s="103"/>
      <c r="D15" s="471"/>
      <c r="E15" s="472"/>
      <c r="F15" s="237"/>
      <c r="G15" s="471"/>
      <c r="H15" s="472"/>
      <c r="I15" s="237"/>
      <c r="J15" s="471"/>
      <c r="K15" s="472"/>
      <c r="L15" s="237"/>
      <c r="M15" s="471"/>
      <c r="N15" s="473"/>
      <c r="O15" s="3"/>
      <c r="P15" s="19"/>
      <c r="Q15" s="19"/>
      <c r="R15" s="83" t="s">
        <v>100</v>
      </c>
      <c r="S15" s="84" t="s">
        <v>101</v>
      </c>
      <c r="U15" t="s">
        <v>137</v>
      </c>
      <c r="V15" t="s">
        <v>243</v>
      </c>
      <c r="W15" t="s">
        <v>238</v>
      </c>
    </row>
    <row r="16" spans="2:23" ht="11.25" customHeight="1">
      <c r="B16" s="487"/>
      <c r="C16" s="103"/>
      <c r="D16" s="471"/>
      <c r="E16" s="472"/>
      <c r="F16" s="237"/>
      <c r="G16" s="471"/>
      <c r="H16" s="472"/>
      <c r="I16" s="237"/>
      <c r="J16" s="471"/>
      <c r="K16" s="472"/>
      <c r="L16" s="237"/>
      <c r="M16" s="471"/>
      <c r="N16" s="473"/>
      <c r="O16" s="3"/>
      <c r="P16" s="19"/>
      <c r="Q16" s="19"/>
      <c r="R16" s="83" t="s">
        <v>102</v>
      </c>
      <c r="S16" s="84" t="s">
        <v>101</v>
      </c>
      <c r="U16" t="s">
        <v>174</v>
      </c>
      <c r="V16" t="s">
        <v>286</v>
      </c>
      <c r="W16" t="s">
        <v>236</v>
      </c>
    </row>
    <row r="17" spans="2:22" ht="12" customHeight="1">
      <c r="B17" s="487"/>
      <c r="C17" s="103"/>
      <c r="D17" s="471"/>
      <c r="E17" s="472"/>
      <c r="F17" s="237"/>
      <c r="G17" s="471"/>
      <c r="H17" s="472"/>
      <c r="I17" s="237"/>
      <c r="J17" s="471"/>
      <c r="K17" s="472"/>
      <c r="L17" s="237"/>
      <c r="M17" s="471"/>
      <c r="N17" s="473"/>
      <c r="O17" s="3"/>
      <c r="P17" s="19"/>
      <c r="Q17" s="19"/>
      <c r="R17" s="83" t="s">
        <v>103</v>
      </c>
      <c r="S17" s="84" t="s">
        <v>101</v>
      </c>
      <c r="U17" t="s">
        <v>218</v>
      </c>
      <c r="V17" t="s">
        <v>285</v>
      </c>
    </row>
    <row r="18" spans="2:22" ht="11.25" customHeight="1">
      <c r="B18" s="487"/>
      <c r="C18" s="104"/>
      <c r="D18" s="468"/>
      <c r="E18" s="469"/>
      <c r="F18" s="238"/>
      <c r="G18" s="468"/>
      <c r="H18" s="469"/>
      <c r="I18" s="238"/>
      <c r="J18" s="468"/>
      <c r="K18" s="469"/>
      <c r="L18" s="238"/>
      <c r="M18" s="468"/>
      <c r="N18" s="470"/>
      <c r="O18" s="3"/>
      <c r="P18" s="19"/>
      <c r="Q18" s="19"/>
      <c r="R18" s="83" t="s">
        <v>104</v>
      </c>
      <c r="S18" s="84" t="s">
        <v>101</v>
      </c>
      <c r="U18" t="s">
        <v>219</v>
      </c>
      <c r="V18" t="s">
        <v>233</v>
      </c>
    </row>
    <row r="19" spans="2:22" ht="14.25" customHeight="1">
      <c r="B19" s="487"/>
      <c r="C19" s="105" t="s">
        <v>190</v>
      </c>
      <c r="D19" s="465"/>
      <c r="E19" s="466"/>
      <c r="F19" s="239"/>
      <c r="G19" s="465"/>
      <c r="H19" s="466"/>
      <c r="I19" s="239"/>
      <c r="J19" s="465"/>
      <c r="K19" s="466"/>
      <c r="L19" s="239"/>
      <c r="M19" s="465"/>
      <c r="N19" s="467"/>
      <c r="O19" s="3"/>
      <c r="P19" s="19"/>
      <c r="Q19" s="19"/>
      <c r="R19" s="83" t="s">
        <v>105</v>
      </c>
      <c r="S19" s="84" t="s">
        <v>106</v>
      </c>
      <c r="U19" t="s">
        <v>140</v>
      </c>
      <c r="V19" t="s">
        <v>284</v>
      </c>
    </row>
    <row r="20" spans="2:22" ht="12" customHeight="1">
      <c r="B20" s="487"/>
      <c r="C20" s="106"/>
      <c r="D20" s="468"/>
      <c r="E20" s="469"/>
      <c r="F20" s="239"/>
      <c r="G20" s="468"/>
      <c r="H20" s="469"/>
      <c r="I20" s="239"/>
      <c r="J20" s="468"/>
      <c r="K20" s="469"/>
      <c r="L20" s="239"/>
      <c r="M20" s="468"/>
      <c r="N20" s="470"/>
      <c r="O20" s="3"/>
      <c r="P20" s="19"/>
      <c r="Q20" s="19"/>
      <c r="R20" s="83" t="s">
        <v>107</v>
      </c>
      <c r="S20" s="84" t="s">
        <v>108</v>
      </c>
      <c r="U20" t="s">
        <v>203</v>
      </c>
      <c r="V20" t="s">
        <v>227</v>
      </c>
    </row>
    <row r="21" spans="2:22" ht="15" customHeight="1">
      <c r="B21" s="488"/>
      <c r="C21" s="88" t="s">
        <v>86</v>
      </c>
      <c r="D21" s="240"/>
      <c r="E21" s="121" t="str">
        <f>IF(D21="E",2,IF(D21="H",1,IF(D21="M",0.5,IF(D21="L",0.1,"0"))))</f>
        <v>0</v>
      </c>
      <c r="F21" s="54"/>
      <c r="G21" s="240"/>
      <c r="H21" s="121" t="str">
        <f>IF(G21="E",2,IF(G21="H",1,IF(G21="M",0.5,IF(G21="L",0.1,"0"))))</f>
        <v>0</v>
      </c>
      <c r="I21" s="54"/>
      <c r="J21" s="240"/>
      <c r="K21" s="121" t="str">
        <f>IF(J21="E",2,IF(J21="H",1,IF(J21="M",0.5,IF(J21="L",0.1,"0"))))</f>
        <v>0</v>
      </c>
      <c r="L21" s="54"/>
      <c r="M21" s="240"/>
      <c r="N21" s="123" t="str">
        <f>IF(M21="E",2,IF(M21="H",1,IF(M21="M",0.5,IF(M21="L",0.1,"0"))))</f>
        <v>0</v>
      </c>
      <c r="O21" s="3"/>
      <c r="P21" s="19"/>
      <c r="Q21" s="19"/>
      <c r="R21" s="83" t="s">
        <v>109</v>
      </c>
      <c r="S21" s="84" t="s">
        <v>110</v>
      </c>
      <c r="U21" t="s">
        <v>143</v>
      </c>
      <c r="V21" t="s">
        <v>234</v>
      </c>
    </row>
    <row r="22" spans="1:22" ht="21" customHeight="1">
      <c r="A22" s="8"/>
      <c r="B22" s="496" t="s">
        <v>71</v>
      </c>
      <c r="C22" s="91" t="s">
        <v>84</v>
      </c>
      <c r="D22" s="321" t="s">
        <v>138</v>
      </c>
      <c r="E22" s="87" t="str">
        <f>VLOOKUP(D22,$R$8:$S$40,2,FALSE)</f>
        <v>-</v>
      </c>
      <c r="F22" s="92"/>
      <c r="G22" s="242" t="s">
        <v>138</v>
      </c>
      <c r="H22" s="87" t="str">
        <f>VLOOKUP(G22,$R$8:$S$40,2,FALSE)</f>
        <v>-</v>
      </c>
      <c r="I22" s="92"/>
      <c r="J22" s="242" t="s">
        <v>138</v>
      </c>
      <c r="K22" s="87" t="str">
        <f>VLOOKUP(J22,$R$8:$S$40,2,FALSE)</f>
        <v>-</v>
      </c>
      <c r="L22" s="92"/>
      <c r="M22" s="242" t="s">
        <v>138</v>
      </c>
      <c r="N22" s="93" t="str">
        <f>VLOOKUP(M22,$R$8:$S$40,2,FALSE)</f>
        <v>-</v>
      </c>
      <c r="O22" s="7" t="s">
        <v>15</v>
      </c>
      <c r="P22" s="19"/>
      <c r="Q22" s="19"/>
      <c r="R22" s="83" t="s">
        <v>111</v>
      </c>
      <c r="S22" s="84" t="s">
        <v>112</v>
      </c>
      <c r="U22" t="s">
        <v>220</v>
      </c>
      <c r="V22" t="s">
        <v>283</v>
      </c>
    </row>
    <row r="23" spans="1:22" ht="16.5" customHeight="1">
      <c r="A23" s="8"/>
      <c r="B23" s="497"/>
      <c r="C23" s="102" t="s">
        <v>85</v>
      </c>
      <c r="D23" s="462"/>
      <c r="E23" s="463"/>
      <c r="F23" s="243">
        <v>1</v>
      </c>
      <c r="G23" s="462"/>
      <c r="H23" s="463"/>
      <c r="I23" s="243">
        <v>1</v>
      </c>
      <c r="J23" s="462"/>
      <c r="K23" s="463"/>
      <c r="L23" s="243">
        <v>1</v>
      </c>
      <c r="M23" s="462"/>
      <c r="N23" s="464"/>
      <c r="O23" s="7"/>
      <c r="P23" s="19"/>
      <c r="Q23" s="19"/>
      <c r="R23" s="83" t="s">
        <v>113</v>
      </c>
      <c r="S23" s="84" t="s">
        <v>101</v>
      </c>
      <c r="U23" t="s">
        <v>221</v>
      </c>
      <c r="V23" t="s">
        <v>228</v>
      </c>
    </row>
    <row r="24" spans="1:23" ht="18" customHeight="1">
      <c r="A24" s="8"/>
      <c r="B24" s="498"/>
      <c r="C24" s="91" t="s">
        <v>192</v>
      </c>
      <c r="D24" s="459"/>
      <c r="E24" s="460"/>
      <c r="F24" s="244"/>
      <c r="G24" s="459"/>
      <c r="H24" s="460"/>
      <c r="I24" s="244"/>
      <c r="J24" s="459"/>
      <c r="K24" s="460"/>
      <c r="L24" s="244"/>
      <c r="M24" s="459"/>
      <c r="N24" s="461"/>
      <c r="O24" s="7"/>
      <c r="P24" s="19"/>
      <c r="Q24" s="19"/>
      <c r="R24" s="83" t="s">
        <v>114</v>
      </c>
      <c r="S24" s="84" t="s">
        <v>101</v>
      </c>
      <c r="U24" t="s">
        <v>222</v>
      </c>
      <c r="V24" t="s">
        <v>282</v>
      </c>
      <c r="W24" t="s">
        <v>239</v>
      </c>
    </row>
    <row r="25" spans="1:23" ht="12" customHeight="1">
      <c r="A25" s="8"/>
      <c r="B25" s="498"/>
      <c r="C25" s="98"/>
      <c r="D25" s="456"/>
      <c r="E25" s="457"/>
      <c r="F25" s="245"/>
      <c r="G25" s="456"/>
      <c r="H25" s="457"/>
      <c r="I25" s="245"/>
      <c r="J25" s="456"/>
      <c r="K25" s="457"/>
      <c r="L25" s="245"/>
      <c r="M25" s="456"/>
      <c r="N25" s="458"/>
      <c r="O25" s="7"/>
      <c r="P25" s="19"/>
      <c r="Q25" s="19"/>
      <c r="R25" s="83" t="s">
        <v>115</v>
      </c>
      <c r="S25" s="84" t="s">
        <v>101</v>
      </c>
      <c r="U25" t="s">
        <v>223</v>
      </c>
      <c r="V25" t="s">
        <v>229</v>
      </c>
      <c r="W25" t="s">
        <v>240</v>
      </c>
    </row>
    <row r="26" spans="1:22" ht="12" customHeight="1">
      <c r="A26" s="8"/>
      <c r="B26" s="498"/>
      <c r="C26" s="98"/>
      <c r="D26" s="456"/>
      <c r="E26" s="457"/>
      <c r="F26" s="245"/>
      <c r="G26" s="456"/>
      <c r="H26" s="457"/>
      <c r="I26" s="245"/>
      <c r="J26" s="456"/>
      <c r="K26" s="457"/>
      <c r="L26" s="245"/>
      <c r="M26" s="456"/>
      <c r="N26" s="458"/>
      <c r="O26" s="7"/>
      <c r="P26" s="19"/>
      <c r="Q26" s="19"/>
      <c r="R26" s="83" t="s">
        <v>116</v>
      </c>
      <c r="S26" s="84" t="s">
        <v>117</v>
      </c>
      <c r="U26" t="s">
        <v>226</v>
      </c>
      <c r="V26" t="s">
        <v>232</v>
      </c>
    </row>
    <row r="27" spans="1:22" ht="12" customHeight="1">
      <c r="A27" s="8"/>
      <c r="B27" s="498"/>
      <c r="C27" s="98"/>
      <c r="D27" s="456"/>
      <c r="E27" s="457"/>
      <c r="F27" s="245"/>
      <c r="G27" s="456"/>
      <c r="H27" s="457"/>
      <c r="I27" s="245"/>
      <c r="J27" s="456"/>
      <c r="K27" s="457"/>
      <c r="L27" s="245"/>
      <c r="M27" s="456"/>
      <c r="N27" s="458"/>
      <c r="O27" s="7"/>
      <c r="P27" s="19"/>
      <c r="Q27" s="19"/>
      <c r="R27" s="83" t="s">
        <v>118</v>
      </c>
      <c r="S27" s="84" t="s">
        <v>117</v>
      </c>
      <c r="U27" t="s">
        <v>224</v>
      </c>
      <c r="V27" t="s">
        <v>230</v>
      </c>
    </row>
    <row r="28" spans="1:22" ht="12" customHeight="1">
      <c r="A28" s="8"/>
      <c r="B28" s="498"/>
      <c r="C28" s="98"/>
      <c r="D28" s="456"/>
      <c r="E28" s="457"/>
      <c r="F28" s="245"/>
      <c r="G28" s="456"/>
      <c r="H28" s="457"/>
      <c r="I28" s="245"/>
      <c r="J28" s="456"/>
      <c r="K28" s="457"/>
      <c r="L28" s="245"/>
      <c r="M28" s="456"/>
      <c r="N28" s="458"/>
      <c r="O28" s="7"/>
      <c r="P28" s="19"/>
      <c r="Q28" s="19"/>
      <c r="R28" s="83" t="s">
        <v>119</v>
      </c>
      <c r="S28" s="84" t="s">
        <v>117</v>
      </c>
      <c r="U28" t="s">
        <v>225</v>
      </c>
      <c r="V28" t="s">
        <v>231</v>
      </c>
    </row>
    <row r="29" spans="1:22" ht="12" customHeight="1">
      <c r="A29" s="8"/>
      <c r="B29" s="498"/>
      <c r="C29" s="98"/>
      <c r="D29" s="456"/>
      <c r="E29" s="457"/>
      <c r="F29" s="245"/>
      <c r="G29" s="456"/>
      <c r="H29" s="457"/>
      <c r="I29" s="245"/>
      <c r="J29" s="456"/>
      <c r="K29" s="457"/>
      <c r="L29" s="245"/>
      <c r="M29" s="456"/>
      <c r="N29" s="458"/>
      <c r="O29" s="7"/>
      <c r="P29" s="19"/>
      <c r="Q29" s="19"/>
      <c r="R29" s="83" t="s">
        <v>120</v>
      </c>
      <c r="S29" s="84" t="s">
        <v>117</v>
      </c>
      <c r="U29" t="s">
        <v>138</v>
      </c>
      <c r="V29" t="s">
        <v>311</v>
      </c>
    </row>
    <row r="30" spans="1:19" ht="12" customHeight="1">
      <c r="A30" s="8"/>
      <c r="B30" s="498"/>
      <c r="C30" s="98"/>
      <c r="D30" s="456"/>
      <c r="E30" s="457"/>
      <c r="F30" s="245"/>
      <c r="G30" s="456"/>
      <c r="H30" s="457"/>
      <c r="I30" s="245"/>
      <c r="J30" s="456"/>
      <c r="K30" s="457"/>
      <c r="L30" s="245"/>
      <c r="M30" s="456"/>
      <c r="N30" s="458"/>
      <c r="O30" s="7"/>
      <c r="P30" s="19"/>
      <c r="Q30" s="19"/>
      <c r="R30" s="83" t="s">
        <v>121</v>
      </c>
      <c r="S30" s="84" t="s">
        <v>122</v>
      </c>
    </row>
    <row r="31" spans="1:19" ht="12" customHeight="1">
      <c r="A31" s="8"/>
      <c r="B31" s="498"/>
      <c r="C31" s="99"/>
      <c r="D31" s="453"/>
      <c r="E31" s="454"/>
      <c r="F31" s="246"/>
      <c r="G31" s="453"/>
      <c r="H31" s="454"/>
      <c r="I31" s="246"/>
      <c r="J31" s="453"/>
      <c r="K31" s="454"/>
      <c r="L31" s="246"/>
      <c r="M31" s="453"/>
      <c r="N31" s="455"/>
      <c r="O31" s="7"/>
      <c r="P31" s="19"/>
      <c r="Q31" s="19"/>
      <c r="R31" s="83" t="s">
        <v>123</v>
      </c>
      <c r="S31" s="84" t="s">
        <v>124</v>
      </c>
    </row>
    <row r="32" spans="1:22" ht="14.25" customHeight="1">
      <c r="A32" s="8"/>
      <c r="B32" s="498"/>
      <c r="C32" s="100" t="s">
        <v>189</v>
      </c>
      <c r="D32" s="459"/>
      <c r="E32" s="460"/>
      <c r="F32" s="247"/>
      <c r="G32" s="459"/>
      <c r="H32" s="460"/>
      <c r="I32" s="247"/>
      <c r="J32" s="459"/>
      <c r="K32" s="460"/>
      <c r="L32" s="247"/>
      <c r="M32" s="459"/>
      <c r="N32" s="461"/>
      <c r="O32" s="7"/>
      <c r="P32" s="19"/>
      <c r="Q32" s="19"/>
      <c r="R32" s="83" t="s">
        <v>125</v>
      </c>
      <c r="S32" s="84" t="s">
        <v>106</v>
      </c>
      <c r="U32" s="126" t="s">
        <v>205</v>
      </c>
      <c r="V32" s="126" t="s">
        <v>316</v>
      </c>
    </row>
    <row r="33" spans="1:22" ht="11.25" customHeight="1">
      <c r="A33" s="8"/>
      <c r="B33" s="498"/>
      <c r="C33" s="101"/>
      <c r="D33" s="453"/>
      <c r="E33" s="454"/>
      <c r="F33" s="247"/>
      <c r="G33" s="453"/>
      <c r="H33" s="454"/>
      <c r="I33" s="247"/>
      <c r="J33" s="453"/>
      <c r="K33" s="454"/>
      <c r="L33" s="247"/>
      <c r="M33" s="453"/>
      <c r="N33" s="455"/>
      <c r="O33" s="7"/>
      <c r="P33" s="19"/>
      <c r="Q33" s="19"/>
      <c r="R33" s="83" t="s">
        <v>126</v>
      </c>
      <c r="S33" s="84" t="s">
        <v>106</v>
      </c>
      <c r="U33" s="126" t="s">
        <v>207</v>
      </c>
      <c r="V33" s="126" t="s">
        <v>318</v>
      </c>
    </row>
    <row r="34" spans="1:22" ht="18" customHeight="1">
      <c r="A34" s="8"/>
      <c r="B34" s="499"/>
      <c r="C34" s="94" t="s">
        <v>86</v>
      </c>
      <c r="D34" s="248"/>
      <c r="E34" s="120" t="str">
        <f>IF(D34="E",2,IF(D34="H",1,IF(D34="M",0.5,IF(D34="L",0.1,"0"))))</f>
        <v>0</v>
      </c>
      <c r="F34" s="95"/>
      <c r="G34" s="248"/>
      <c r="H34" s="120" t="str">
        <f>IF(G34="E",2,IF(G34="H",1,IF(G34="M",0.5,IF(G34="L",0.1,"0"))))</f>
        <v>0</v>
      </c>
      <c r="I34" s="95"/>
      <c r="J34" s="248"/>
      <c r="K34" s="120" t="str">
        <f>IF(J34="E",2,IF(J34="H",1,IF(J34="M",0.5,IF(J34="L",0.1,"0"))))</f>
        <v>0</v>
      </c>
      <c r="L34" s="95"/>
      <c r="M34" s="248"/>
      <c r="N34" s="122" t="str">
        <f>IF(M34="E",2,IF(M34="H",1,IF(M34="M",0.5,IF(M34="L",0.1,"0"))))</f>
        <v>0</v>
      </c>
      <c r="O34" s="7"/>
      <c r="P34" s="19"/>
      <c r="Q34" s="19"/>
      <c r="R34" s="83" t="s">
        <v>127</v>
      </c>
      <c r="S34" s="84" t="s">
        <v>128</v>
      </c>
      <c r="U34" s="126" t="s">
        <v>209</v>
      </c>
      <c r="V34" s="126" t="s">
        <v>317</v>
      </c>
    </row>
    <row r="35" spans="2:22" ht="18" customHeight="1">
      <c r="B35" s="486" t="s">
        <v>72</v>
      </c>
      <c r="C35" s="76" t="s">
        <v>84</v>
      </c>
      <c r="D35" s="233" t="s">
        <v>138</v>
      </c>
      <c r="E35" s="89" t="str">
        <f>VLOOKUP(D35,$R$8:$S$40,2,FALSE)</f>
        <v>-</v>
      </c>
      <c r="F35" s="55"/>
      <c r="G35" s="233" t="s">
        <v>138</v>
      </c>
      <c r="H35" s="89" t="str">
        <f>VLOOKUP(G35,$R$8:$S$40,2,FALSE)</f>
        <v>-</v>
      </c>
      <c r="I35" s="55"/>
      <c r="J35" s="233" t="s">
        <v>138</v>
      </c>
      <c r="K35" s="89" t="str">
        <f>VLOOKUP(J35,$R$8:$S$40,2,FALSE)</f>
        <v>-</v>
      </c>
      <c r="L35" s="55"/>
      <c r="M35" s="233" t="s">
        <v>138</v>
      </c>
      <c r="N35" s="90" t="str">
        <f>VLOOKUP(M35,$R$8:$S$40,2,FALSE)</f>
        <v>-</v>
      </c>
      <c r="O35" s="3" t="s">
        <v>15</v>
      </c>
      <c r="P35" s="19"/>
      <c r="Q35" s="19"/>
      <c r="R35" s="83" t="s">
        <v>129</v>
      </c>
      <c r="S35" s="84" t="s">
        <v>128</v>
      </c>
      <c r="U35" s="126" t="s">
        <v>211</v>
      </c>
      <c r="V35" s="126" t="s">
        <v>319</v>
      </c>
    </row>
    <row r="36" spans="2:22" ht="18" customHeight="1">
      <c r="B36" s="500"/>
      <c r="C36" s="71" t="s">
        <v>85</v>
      </c>
      <c r="D36" s="474"/>
      <c r="E36" s="447"/>
      <c r="F36" s="249">
        <v>1</v>
      </c>
      <c r="G36" s="474"/>
      <c r="H36" s="447"/>
      <c r="I36" s="249">
        <v>1</v>
      </c>
      <c r="J36" s="474"/>
      <c r="K36" s="447"/>
      <c r="L36" s="249">
        <v>1</v>
      </c>
      <c r="M36" s="474"/>
      <c r="N36" s="452"/>
      <c r="O36" s="3"/>
      <c r="P36" s="19"/>
      <c r="Q36" s="19"/>
      <c r="R36" s="83" t="s">
        <v>130</v>
      </c>
      <c r="S36" s="84" t="s">
        <v>131</v>
      </c>
      <c r="U36" s="126" t="s">
        <v>217</v>
      </c>
      <c r="V36" s="126" t="s">
        <v>320</v>
      </c>
    </row>
    <row r="37" spans="2:22" ht="18" customHeight="1">
      <c r="B37" s="500"/>
      <c r="C37" s="76" t="s">
        <v>192</v>
      </c>
      <c r="D37" s="465"/>
      <c r="E37" s="466"/>
      <c r="F37" s="236"/>
      <c r="G37" s="465"/>
      <c r="H37" s="466"/>
      <c r="I37" s="236"/>
      <c r="J37" s="465"/>
      <c r="K37" s="466"/>
      <c r="L37" s="236"/>
      <c r="M37" s="465"/>
      <c r="N37" s="467"/>
      <c r="O37" s="3"/>
      <c r="P37" s="19"/>
      <c r="Q37" s="19"/>
      <c r="R37" s="83" t="s">
        <v>132</v>
      </c>
      <c r="S37" s="84" t="s">
        <v>133</v>
      </c>
      <c r="U37" s="126" t="s">
        <v>137</v>
      </c>
      <c r="V37" s="126" t="s">
        <v>317</v>
      </c>
    </row>
    <row r="38" spans="2:22" ht="12" customHeight="1">
      <c r="B38" s="500"/>
      <c r="C38" s="71"/>
      <c r="D38" s="471"/>
      <c r="E38" s="472"/>
      <c r="F38" s="237"/>
      <c r="G38" s="471"/>
      <c r="H38" s="472"/>
      <c r="I38" s="237"/>
      <c r="J38" s="471"/>
      <c r="K38" s="472"/>
      <c r="L38" s="237"/>
      <c r="M38" s="471"/>
      <c r="N38" s="473"/>
      <c r="O38" s="3"/>
      <c r="P38" s="19"/>
      <c r="Q38" s="19"/>
      <c r="R38" s="83" t="s">
        <v>134</v>
      </c>
      <c r="S38" s="84" t="s">
        <v>133</v>
      </c>
      <c r="U38" s="126" t="s">
        <v>174</v>
      </c>
      <c r="V38" s="126" t="s">
        <v>318</v>
      </c>
    </row>
    <row r="39" spans="2:22" ht="12" customHeight="1">
      <c r="B39" s="500"/>
      <c r="C39" s="71"/>
      <c r="D39" s="471"/>
      <c r="E39" s="472"/>
      <c r="F39" s="237"/>
      <c r="G39" s="471"/>
      <c r="H39" s="472"/>
      <c r="I39" s="237"/>
      <c r="J39" s="471"/>
      <c r="K39" s="472"/>
      <c r="L39" s="237"/>
      <c r="M39" s="471"/>
      <c r="N39" s="473"/>
      <c r="O39" s="3"/>
      <c r="P39" s="19"/>
      <c r="Q39" s="19"/>
      <c r="R39" s="83" t="s">
        <v>135</v>
      </c>
      <c r="S39" s="84" t="s">
        <v>136</v>
      </c>
      <c r="U39" s="126" t="s">
        <v>218</v>
      </c>
      <c r="V39" s="126" t="s">
        <v>321</v>
      </c>
    </row>
    <row r="40" spans="2:22" ht="12" customHeight="1">
      <c r="B40" s="500"/>
      <c r="C40" s="71"/>
      <c r="D40" s="471"/>
      <c r="E40" s="472"/>
      <c r="F40" s="237"/>
      <c r="G40" s="471"/>
      <c r="H40" s="472"/>
      <c r="I40" s="237"/>
      <c r="J40" s="471"/>
      <c r="K40" s="472"/>
      <c r="L40" s="237"/>
      <c r="M40" s="471"/>
      <c r="N40" s="473"/>
      <c r="O40" s="3"/>
      <c r="P40" s="19"/>
      <c r="Q40" s="19"/>
      <c r="R40" s="85" t="s">
        <v>138</v>
      </c>
      <c r="S40" s="86" t="s">
        <v>138</v>
      </c>
      <c r="U40" s="126" t="s">
        <v>222</v>
      </c>
      <c r="V40" s="126" t="s">
        <v>322</v>
      </c>
    </row>
    <row r="41" spans="2:22" ht="12" customHeight="1">
      <c r="B41" s="500"/>
      <c r="C41" s="103"/>
      <c r="D41" s="471"/>
      <c r="E41" s="472"/>
      <c r="F41" s="237"/>
      <c r="G41" s="471"/>
      <c r="H41" s="472"/>
      <c r="I41" s="237"/>
      <c r="J41" s="471"/>
      <c r="K41" s="472"/>
      <c r="L41" s="237"/>
      <c r="M41" s="471"/>
      <c r="N41" s="473"/>
      <c r="O41" s="3"/>
      <c r="P41" s="19"/>
      <c r="Q41" s="19"/>
      <c r="U41" s="126" t="s">
        <v>223</v>
      </c>
      <c r="V41" s="126" t="s">
        <v>323</v>
      </c>
    </row>
    <row r="42" spans="2:22" ht="12" customHeight="1">
      <c r="B42" s="500"/>
      <c r="C42" s="103"/>
      <c r="D42" s="471"/>
      <c r="E42" s="472"/>
      <c r="F42" s="237"/>
      <c r="G42" s="471"/>
      <c r="H42" s="472"/>
      <c r="I42" s="237"/>
      <c r="J42" s="471"/>
      <c r="K42" s="472"/>
      <c r="L42" s="237"/>
      <c r="M42" s="471"/>
      <c r="N42" s="473"/>
      <c r="O42" s="3"/>
      <c r="P42" s="19"/>
      <c r="Q42" s="19"/>
      <c r="U42" s="126" t="s">
        <v>225</v>
      </c>
      <c r="V42" s="126" t="s">
        <v>317</v>
      </c>
    </row>
    <row r="43" spans="1:17" ht="12" customHeight="1">
      <c r="A43" s="8"/>
      <c r="B43" s="500"/>
      <c r="C43" s="104"/>
      <c r="D43" s="468"/>
      <c r="E43" s="469"/>
      <c r="F43" s="238"/>
      <c r="G43" s="468"/>
      <c r="H43" s="469"/>
      <c r="I43" s="238"/>
      <c r="J43" s="468"/>
      <c r="K43" s="469"/>
      <c r="L43" s="238"/>
      <c r="M43" s="468"/>
      <c r="N43" s="470"/>
      <c r="O43" s="7" t="s">
        <v>13</v>
      </c>
      <c r="P43" s="19"/>
      <c r="Q43" s="19"/>
    </row>
    <row r="44" spans="1:17" ht="15" customHeight="1">
      <c r="A44" s="8"/>
      <c r="B44" s="500"/>
      <c r="C44" s="105" t="s">
        <v>189</v>
      </c>
      <c r="D44" s="465"/>
      <c r="E44" s="466"/>
      <c r="F44" s="239"/>
      <c r="G44" s="465"/>
      <c r="H44" s="466"/>
      <c r="I44" s="239"/>
      <c r="J44" s="465"/>
      <c r="K44" s="466"/>
      <c r="L44" s="239"/>
      <c r="M44" s="465"/>
      <c r="N44" s="467"/>
      <c r="O44" s="7"/>
      <c r="P44" s="19"/>
      <c r="Q44" s="19"/>
    </row>
    <row r="45" spans="1:17" ht="13.5" customHeight="1">
      <c r="A45" s="8"/>
      <c r="B45" s="500"/>
      <c r="C45" s="106"/>
      <c r="D45" s="468"/>
      <c r="E45" s="469"/>
      <c r="F45" s="239"/>
      <c r="G45" s="468"/>
      <c r="H45" s="469"/>
      <c r="I45" s="239"/>
      <c r="J45" s="468"/>
      <c r="K45" s="469"/>
      <c r="L45" s="239"/>
      <c r="M45" s="468"/>
      <c r="N45" s="470"/>
      <c r="O45" s="7"/>
      <c r="P45" s="19"/>
      <c r="Q45" s="19"/>
    </row>
    <row r="46" spans="1:17" ht="17.25" customHeight="1">
      <c r="A46" s="8"/>
      <c r="B46" s="501"/>
      <c r="C46" s="88" t="s">
        <v>86</v>
      </c>
      <c r="D46" s="240"/>
      <c r="E46" s="121" t="str">
        <f>IF(D46="E",2,IF(D46="H",1,IF(D46="M",0.5,IF(D46="L",0.1,"0"))))</f>
        <v>0</v>
      </c>
      <c r="F46" s="54"/>
      <c r="G46" s="240"/>
      <c r="H46" s="121" t="str">
        <f>IF(G46="E",2,IF(G46="H",1,IF(G46="M",0.5,IF(G46="L",0.1,"0"))))</f>
        <v>0</v>
      </c>
      <c r="I46" s="54"/>
      <c r="J46" s="240"/>
      <c r="K46" s="121" t="str">
        <f>IF(J46="E",2,IF(J46="H",1,IF(J46="M",0.5,IF(J46="L",0.1,"0"))))</f>
        <v>0</v>
      </c>
      <c r="L46" s="54"/>
      <c r="M46" s="240"/>
      <c r="N46" s="123" t="str">
        <f>IF(M46="E",2,IF(M46="H",1,IF(M46="M",0.5,IF(M46="L",0.1,"0"))))</f>
        <v>0</v>
      </c>
      <c r="O46" s="7"/>
      <c r="P46" s="19"/>
      <c r="Q46" s="19"/>
    </row>
    <row r="47" spans="1:17" ht="17.25" customHeight="1">
      <c r="A47" s="8"/>
      <c r="B47" s="496" t="s">
        <v>87</v>
      </c>
      <c r="C47" s="91" t="s">
        <v>84</v>
      </c>
      <c r="D47" s="241" t="s">
        <v>138</v>
      </c>
      <c r="E47" s="87" t="str">
        <f>VLOOKUP(D47,$R$8:$S$40,2,FALSE)</f>
        <v>-</v>
      </c>
      <c r="F47" s="92"/>
      <c r="G47" s="242" t="s">
        <v>138</v>
      </c>
      <c r="H47" s="87" t="str">
        <f>VLOOKUP(G47,$R$8:$S$40,2,FALSE)</f>
        <v>-</v>
      </c>
      <c r="I47" s="92"/>
      <c r="J47" s="242" t="s">
        <v>138</v>
      </c>
      <c r="K47" s="87" t="str">
        <f>VLOOKUP(J47,$R$8:$S$40,2,FALSE)</f>
        <v>-</v>
      </c>
      <c r="L47" s="92"/>
      <c r="M47" s="242" t="s">
        <v>138</v>
      </c>
      <c r="N47" s="93" t="str">
        <f>VLOOKUP(M47,$R$8:$S$40,2,FALSE)</f>
        <v>-</v>
      </c>
      <c r="O47" s="7"/>
      <c r="P47" s="19"/>
      <c r="Q47" s="19"/>
    </row>
    <row r="48" spans="2:17" ht="15" customHeight="1">
      <c r="B48" s="500"/>
      <c r="C48" s="102" t="s">
        <v>85</v>
      </c>
      <c r="D48" s="462"/>
      <c r="E48" s="463"/>
      <c r="F48" s="243">
        <v>1</v>
      </c>
      <c r="G48" s="462"/>
      <c r="H48" s="463"/>
      <c r="I48" s="243">
        <v>1</v>
      </c>
      <c r="J48" s="462"/>
      <c r="K48" s="463"/>
      <c r="L48" s="243">
        <v>1</v>
      </c>
      <c r="M48" s="462"/>
      <c r="N48" s="464"/>
      <c r="O48" s="3" t="s">
        <v>13</v>
      </c>
      <c r="P48" s="19"/>
      <c r="Q48" s="19"/>
    </row>
    <row r="49" spans="2:17" ht="18" customHeight="1">
      <c r="B49" s="502"/>
      <c r="C49" s="91" t="s">
        <v>192</v>
      </c>
      <c r="D49" s="459"/>
      <c r="E49" s="460"/>
      <c r="F49" s="244"/>
      <c r="G49" s="459"/>
      <c r="H49" s="460"/>
      <c r="I49" s="244"/>
      <c r="J49" s="459"/>
      <c r="K49" s="460"/>
      <c r="L49" s="244"/>
      <c r="M49" s="459"/>
      <c r="N49" s="461"/>
      <c r="O49" s="3"/>
      <c r="P49" s="19"/>
      <c r="Q49" s="19"/>
    </row>
    <row r="50" spans="2:17" ht="12" customHeight="1">
      <c r="B50" s="502"/>
      <c r="C50" s="98"/>
      <c r="D50" s="456"/>
      <c r="E50" s="457"/>
      <c r="F50" s="245"/>
      <c r="G50" s="456"/>
      <c r="H50" s="457"/>
      <c r="I50" s="245"/>
      <c r="J50" s="456"/>
      <c r="K50" s="457"/>
      <c r="L50" s="245"/>
      <c r="M50" s="456"/>
      <c r="N50" s="458"/>
      <c r="O50" s="3"/>
      <c r="P50" s="19"/>
      <c r="Q50" s="19"/>
    </row>
    <row r="51" spans="2:17" ht="12" customHeight="1">
      <c r="B51" s="502"/>
      <c r="C51" s="98"/>
      <c r="D51" s="456"/>
      <c r="E51" s="457"/>
      <c r="F51" s="245"/>
      <c r="G51" s="456"/>
      <c r="H51" s="457"/>
      <c r="I51" s="245"/>
      <c r="J51" s="456"/>
      <c r="K51" s="457"/>
      <c r="L51" s="245"/>
      <c r="M51" s="456"/>
      <c r="N51" s="458"/>
      <c r="O51" s="3"/>
      <c r="P51" s="19"/>
      <c r="Q51" s="19"/>
    </row>
    <row r="52" spans="2:17" ht="12" customHeight="1">
      <c r="B52" s="502"/>
      <c r="C52" s="98"/>
      <c r="D52" s="456"/>
      <c r="E52" s="457"/>
      <c r="F52" s="245"/>
      <c r="G52" s="456"/>
      <c r="H52" s="457"/>
      <c r="I52" s="245"/>
      <c r="J52" s="456"/>
      <c r="K52" s="457"/>
      <c r="L52" s="245"/>
      <c r="M52" s="456"/>
      <c r="N52" s="458"/>
      <c r="O52" s="3"/>
      <c r="P52" s="19"/>
      <c r="Q52" s="19"/>
    </row>
    <row r="53" spans="2:17" ht="12" customHeight="1">
      <c r="B53" s="502"/>
      <c r="C53" s="98"/>
      <c r="D53" s="456"/>
      <c r="E53" s="457"/>
      <c r="F53" s="245"/>
      <c r="G53" s="456"/>
      <c r="H53" s="457"/>
      <c r="I53" s="245"/>
      <c r="J53" s="456"/>
      <c r="K53" s="457"/>
      <c r="L53" s="245"/>
      <c r="M53" s="456"/>
      <c r="N53" s="458"/>
      <c r="O53" s="3"/>
      <c r="P53" s="19"/>
      <c r="Q53" s="19"/>
    </row>
    <row r="54" spans="2:17" ht="12" customHeight="1">
      <c r="B54" s="502"/>
      <c r="C54" s="99"/>
      <c r="D54" s="453"/>
      <c r="E54" s="454"/>
      <c r="F54" s="246"/>
      <c r="G54" s="453"/>
      <c r="H54" s="454"/>
      <c r="I54" s="246"/>
      <c r="J54" s="453"/>
      <c r="K54" s="454"/>
      <c r="L54" s="246"/>
      <c r="M54" s="453"/>
      <c r="N54" s="455"/>
      <c r="O54" s="3"/>
      <c r="P54" s="19"/>
      <c r="Q54" s="19"/>
    </row>
    <row r="55" spans="1:17" ht="14.25" customHeight="1">
      <c r="A55" s="8"/>
      <c r="B55" s="502"/>
      <c r="C55" s="100" t="s">
        <v>189</v>
      </c>
      <c r="D55" s="459"/>
      <c r="E55" s="460"/>
      <c r="F55" s="247"/>
      <c r="G55" s="459"/>
      <c r="H55" s="460"/>
      <c r="I55" s="247"/>
      <c r="J55" s="459"/>
      <c r="K55" s="460"/>
      <c r="L55" s="247"/>
      <c r="M55" s="459"/>
      <c r="N55" s="461"/>
      <c r="O55" s="7" t="s">
        <v>13</v>
      </c>
      <c r="P55" s="19"/>
      <c r="Q55" s="19"/>
    </row>
    <row r="56" spans="1:17" ht="12" customHeight="1">
      <c r="A56" s="8"/>
      <c r="B56" s="502"/>
      <c r="C56" s="101"/>
      <c r="D56" s="453"/>
      <c r="E56" s="454"/>
      <c r="F56" s="247"/>
      <c r="G56" s="453"/>
      <c r="H56" s="454"/>
      <c r="I56" s="247"/>
      <c r="J56" s="453"/>
      <c r="K56" s="454"/>
      <c r="L56" s="247"/>
      <c r="M56" s="453"/>
      <c r="N56" s="455"/>
      <c r="O56" s="7"/>
      <c r="P56" s="19"/>
      <c r="Q56" s="19"/>
    </row>
    <row r="57" spans="1:17" ht="18" customHeight="1">
      <c r="A57" s="8"/>
      <c r="B57" s="501"/>
      <c r="C57" s="94" t="s">
        <v>86</v>
      </c>
      <c r="D57" s="248" t="s">
        <v>138</v>
      </c>
      <c r="E57" s="120" t="str">
        <f>IF(D57="E",2,IF(D57="H",1,IF(D57="M",0.5,IF(D57="L",0.1,"0"))))</f>
        <v>0</v>
      </c>
      <c r="F57" s="95"/>
      <c r="G57" s="248"/>
      <c r="H57" s="120" t="str">
        <f>IF(G57="E",2,IF(G57="H",1,IF(G57="M",0.5,IF(G57="L",0.1,"0"))))</f>
        <v>0</v>
      </c>
      <c r="I57" s="95"/>
      <c r="J57" s="248"/>
      <c r="K57" s="120" t="str">
        <f>IF(J57="E",2,IF(J57="H",1,IF(J57="M",0.5,IF(J57="L",0.1,"0"))))</f>
        <v>0</v>
      </c>
      <c r="L57" s="95"/>
      <c r="M57" s="248"/>
      <c r="N57" s="122" t="str">
        <f>IF(M57="E",2,IF(M57="H",1,IF(M57="M",0.5,IF(M57="L",0.1,"0"))))</f>
        <v>0</v>
      </c>
      <c r="O57" s="7"/>
      <c r="P57" s="19"/>
      <c r="Q57" s="19"/>
    </row>
    <row r="58" spans="2:17" ht="17.25" customHeight="1">
      <c r="B58" s="27"/>
      <c r="C58" s="15" t="s">
        <v>315</v>
      </c>
      <c r="D58" s="313"/>
      <c r="E58" s="312"/>
      <c r="F58" s="250"/>
      <c r="G58" s="448"/>
      <c r="H58" s="449"/>
      <c r="I58" s="250"/>
      <c r="J58" s="448"/>
      <c r="K58" s="449"/>
      <c r="L58" s="250"/>
      <c r="M58" s="448"/>
      <c r="N58" s="450"/>
      <c r="O58" s="3" t="s">
        <v>13</v>
      </c>
      <c r="P58" s="19"/>
      <c r="Q58" s="19"/>
    </row>
    <row r="59" spans="1:16" ht="21" customHeight="1">
      <c r="A59" s="8"/>
      <c r="B59" s="43"/>
      <c r="C59" s="39" t="s">
        <v>20</v>
      </c>
      <c r="D59" s="444"/>
      <c r="E59" s="445"/>
      <c r="F59" s="251"/>
      <c r="G59" s="444"/>
      <c r="H59" s="445"/>
      <c r="I59" s="251"/>
      <c r="J59" s="444"/>
      <c r="K59" s="445"/>
      <c r="L59" s="251"/>
      <c r="M59" s="444"/>
      <c r="N59" s="451"/>
      <c r="O59" s="7" t="s">
        <v>14</v>
      </c>
      <c r="P59" s="19"/>
    </row>
    <row r="60" spans="1:17" ht="12" customHeight="1">
      <c r="A60" s="19"/>
      <c r="B60" s="29"/>
      <c r="C60" s="30" t="s">
        <v>23</v>
      </c>
      <c r="D60" s="446"/>
      <c r="E60" s="447"/>
      <c r="F60" s="252"/>
      <c r="G60" s="446"/>
      <c r="H60" s="447"/>
      <c r="I60" s="252"/>
      <c r="J60" s="446"/>
      <c r="K60" s="447"/>
      <c r="L60" s="252"/>
      <c r="M60" s="446"/>
      <c r="N60" s="452"/>
      <c r="O60" s="18"/>
      <c r="P60" s="19"/>
      <c r="Q60" s="19"/>
    </row>
    <row r="61" spans="1:17" ht="18" customHeight="1">
      <c r="A61" s="19"/>
      <c r="B61" s="503" t="s">
        <v>139</v>
      </c>
      <c r="C61" s="504"/>
      <c r="D61" s="202">
        <f>MAX(E57,E46,E34,E21)</f>
        <v>0</v>
      </c>
      <c r="E61" s="108" t="str">
        <f>IF(D61&gt;1,"Exceptional",IF(D61&gt;0.65,"High",IF(D61&gt;0.32,"Medium",IF(D61&gt;0.01,"Low","-"))))</f>
        <v>-</v>
      </c>
      <c r="F61" s="96"/>
      <c r="G61" s="97">
        <f>MAX(H57,H46,H34,H21)</f>
        <v>0</v>
      </c>
      <c r="H61" s="108" t="str">
        <f>IF(G61&gt;1,"Exceptional",IF(G61&gt;0.65,"High",IF(G61&gt;0.32,"Medium",IF(G61&gt;0.01,"Low","-"))))</f>
        <v>-</v>
      </c>
      <c r="I61" s="74" t="e">
        <f>MAX(#REF!,#REF!,I54,I42,I34,I21)</f>
        <v>#REF!</v>
      </c>
      <c r="J61" s="97">
        <f>MAX(K57,K46,K34,K21)</f>
        <v>0</v>
      </c>
      <c r="K61" s="108" t="str">
        <f>IF(J61&gt;1,"Exceptional",IF(J61&gt;0.65,"High",IF(J61&gt;0.32,"Medium",IF(J61&gt;0.01,"Low","-"))))</f>
        <v>-</v>
      </c>
      <c r="L61" s="74" t="e">
        <f>MAX(#REF!,#REF!,L54,L42,L34,L21)</f>
        <v>#REF!</v>
      </c>
      <c r="M61" s="97">
        <f>MAX(N57,N46,N34,N21)</f>
        <v>0</v>
      </c>
      <c r="N61" s="108" t="str">
        <f>IF(M61&gt;1,"Exceptional",IF(M61&gt;0.65,"High",IF(M61&gt;0.32,"Medium",IF(M61&gt;0.01,"Low","-"))))</f>
        <v>-</v>
      </c>
      <c r="O61" s="18"/>
      <c r="Q61" s="19"/>
    </row>
    <row r="62" spans="1:19" ht="18" customHeight="1">
      <c r="A62" s="19"/>
      <c r="B62" s="492" t="s">
        <v>80</v>
      </c>
      <c r="C62" s="493"/>
      <c r="D62" s="107" t="str">
        <f>IF(P62=0,"-",(E57+E46+E34+E21)/P62)</f>
        <v>-</v>
      </c>
      <c r="E62" s="108" t="str">
        <f>IF(P62=0,"-",IF(D62&gt;1,"Exceptional",IF(D62&gt;0.65,"High",IF(D62&gt;0.32,"Medium",IF(D62&gt;0.01,"Low","-")))))</f>
        <v>-</v>
      </c>
      <c r="F62" s="75" t="str">
        <f>IF(F57&gt;0,(F57+F46+F34+F21)/4,(IF(F46&gt;0,(F46+F34+F21)/3,(IF(F34&gt;0,(F34+F21)/2,(IF(F21&gt;0,(F21),"Enter Data")))))))</f>
        <v>Enter Data</v>
      </c>
      <c r="G62" s="107" t="str">
        <f>IF(Q62=0,"-",(H57+H46+H34+H21)/Q62)</f>
        <v>-</v>
      </c>
      <c r="H62" s="108" t="str">
        <f>IF(Q62=0,"-",IF(G62&gt;1,"Exceptional",IF(G62&gt;0.65,"High",IF(G62&gt;0.32,"Medium",IF(G62&gt;0.01,"Low","-")))))</f>
        <v>-</v>
      </c>
      <c r="I62" s="75" t="str">
        <f>IF(I57&gt;0,(I57+I46+I34+I21)/4,(IF(I46&gt;0,(I46+I34+I21)/3,(IF(I34&gt;0,(I34+I21)/2,(IF(I21&gt;0,(I21),"Enter Data")))))))</f>
        <v>Enter Data</v>
      </c>
      <c r="J62" s="107" t="str">
        <f>IF(R62=0,"-",(K57+K46+K34+K21)/R62)</f>
        <v>-</v>
      </c>
      <c r="K62" s="108" t="str">
        <f>IF(R62=0,"-",IF(J62&gt;1,"Exceptional",IF(J62&gt;0.65,"High",IF(J62&gt;0.32,"Medium",IF(J62&gt;0.01,"Low","-")))))</f>
        <v>-</v>
      </c>
      <c r="L62" s="75" t="str">
        <f>IF(L57&gt;0,(L57+L46+L34+L21)/4,(IF(L46&gt;0,(L46+L34+L21)/3,(IF(L34&gt;0,(L34+L21)/2,(IF(L21&gt;0,(L21),"Enter Data")))))))</f>
        <v>Enter Data</v>
      </c>
      <c r="M62" s="107" t="str">
        <f>IF(S62=0,"-",(N57+N46+N34+N21)/S62)</f>
        <v>-</v>
      </c>
      <c r="N62" s="108" t="str">
        <f>IF(S62=0,"-",IF(M62&gt;1,"Exceptional",IF(M62&gt;0.65,"High",IF(M62&gt;0.32,"Medium",IF(M62&gt;0.01,"Low","-")))))</f>
        <v>-</v>
      </c>
      <c r="O62" s="18"/>
      <c r="P62" s="19">
        <f>COUNT(E57,E46,E34,E21)</f>
        <v>0</v>
      </c>
      <c r="Q62" s="19">
        <f>COUNT(H57,H46,H34,H21)</f>
        <v>0</v>
      </c>
      <c r="R62" s="19">
        <f>COUNT(K57,K46,K34,K21)</f>
        <v>0</v>
      </c>
      <c r="S62" s="19">
        <f>COUNT(N57,N46,N34,N21)</f>
        <v>0</v>
      </c>
    </row>
    <row r="63" spans="1:17" ht="18" customHeight="1">
      <c r="A63" s="19"/>
      <c r="B63" s="494" t="s">
        <v>81</v>
      </c>
      <c r="C63" s="495"/>
      <c r="D63" s="109">
        <f>(D48*E57)+(D36*E46)+(D23*E34)+(D10*E21)</f>
        <v>0</v>
      </c>
      <c r="E63" s="110" t="str">
        <f>IF(D63&gt;1,"Exceptional",IF(D63&gt;0.65,"High",IF(D63&gt;0.32,"Medium",IF(D63&gt;0.01,"Low","-"))))</f>
        <v>-</v>
      </c>
      <c r="F63" s="73">
        <f>(F48*F57)+(F36*F46)+(F23*F34)+(F10*F21)</f>
        <v>0</v>
      </c>
      <c r="G63" s="109">
        <f>(G48*H57)+(G36*H46)+(G23*H34)+(G10*H21)</f>
        <v>0</v>
      </c>
      <c r="H63" s="110" t="str">
        <f>IF(G63&gt;1,"Exceptional",IF(G63&gt;0.65,"High",IF(G63&gt;0.32,"Medium",IF(G63&gt;0.01,"Low","-"))))</f>
        <v>-</v>
      </c>
      <c r="I63" s="73">
        <f>(I48*I57)+(I36*I46)+(I23*I34)+(I10*I21)</f>
        <v>0</v>
      </c>
      <c r="J63" s="109">
        <f>(J48*K57)+(J36*K46)+(J23*K34)+(J10*K21)</f>
        <v>0</v>
      </c>
      <c r="K63" s="110" t="str">
        <f>IF(J63&gt;1,"Exceptional",IF(J63&gt;0.65,"High",IF(J63&gt;0.32,"Medium",IF(J63&gt;0.01,"Low","-"))))</f>
        <v>-</v>
      </c>
      <c r="L63" s="73">
        <f>(L48*L57)+(L36*L46)+(L23*L34)+(L10*L21)</f>
        <v>0</v>
      </c>
      <c r="M63" s="109">
        <f>(M48*N57)+(M36*N46)+(M23*N34)+(M10*N21)</f>
        <v>0</v>
      </c>
      <c r="N63" s="110" t="str">
        <f>IF(M63&gt;1,"Exceptional",IF(M63&gt;0.65,"High",IF(M63&gt;0.32,"Medium",IF(M63&gt;0.01,"Low","-"))))</f>
        <v>-</v>
      </c>
      <c r="O63" s="18"/>
      <c r="P63" s="19"/>
      <c r="Q63" s="19"/>
    </row>
    <row r="64" spans="1:17" ht="12.75" customHeight="1">
      <c r="A64" s="58"/>
      <c r="B64" s="38" t="s">
        <v>74</v>
      </c>
      <c r="C64" s="39" t="s">
        <v>266</v>
      </c>
      <c r="D64" s="111" t="s">
        <v>143</v>
      </c>
      <c r="E64" s="112" t="s">
        <v>2</v>
      </c>
      <c r="F64" s="56"/>
      <c r="G64" s="111"/>
      <c r="H64" s="112" t="s">
        <v>2</v>
      </c>
      <c r="I64" s="56" t="s">
        <v>15</v>
      </c>
      <c r="J64" s="111"/>
      <c r="K64" s="112" t="s">
        <v>2</v>
      </c>
      <c r="L64" s="56" t="s">
        <v>2</v>
      </c>
      <c r="M64" s="111"/>
      <c r="N64" s="117" t="s">
        <v>2</v>
      </c>
      <c r="O64" s="18"/>
      <c r="P64" s="19"/>
      <c r="Q64" s="19"/>
    </row>
    <row r="65" spans="1:17" ht="12.75" customHeight="1">
      <c r="A65" s="58"/>
      <c r="B65" s="58" t="s">
        <v>75</v>
      </c>
      <c r="C65" s="23" t="s">
        <v>267</v>
      </c>
      <c r="D65" s="322" t="s">
        <v>143</v>
      </c>
      <c r="E65" s="114" t="s">
        <v>2</v>
      </c>
      <c r="F65" s="12"/>
      <c r="G65" s="113"/>
      <c r="H65" s="114" t="s">
        <v>2</v>
      </c>
      <c r="I65" s="21" t="s">
        <v>15</v>
      </c>
      <c r="J65" s="113"/>
      <c r="K65" s="114" t="s">
        <v>2</v>
      </c>
      <c r="L65" s="20" t="s">
        <v>2</v>
      </c>
      <c r="M65" s="113"/>
      <c r="N65" s="118" t="s">
        <v>2</v>
      </c>
      <c r="O65" s="7"/>
      <c r="P65" s="19"/>
      <c r="Q65" s="19"/>
    </row>
    <row r="66" spans="1:17" ht="12.75" customHeight="1" thickBot="1">
      <c r="A66" s="58"/>
      <c r="B66" s="51" t="s">
        <v>76</v>
      </c>
      <c r="C66" s="52" t="s">
        <v>260</v>
      </c>
      <c r="D66" s="115" t="s">
        <v>143</v>
      </c>
      <c r="E66" s="116" t="s">
        <v>2</v>
      </c>
      <c r="F66" s="57"/>
      <c r="G66" s="115"/>
      <c r="H66" s="116" t="s">
        <v>2</v>
      </c>
      <c r="I66" s="57" t="s">
        <v>2</v>
      </c>
      <c r="J66" s="115"/>
      <c r="K66" s="116" t="s">
        <v>2</v>
      </c>
      <c r="L66" s="57" t="s">
        <v>2</v>
      </c>
      <c r="M66" s="115"/>
      <c r="N66" s="119" t="s">
        <v>2</v>
      </c>
      <c r="O66" s="3" t="s">
        <v>8</v>
      </c>
      <c r="P66" s="19"/>
      <c r="Q66" s="19"/>
    </row>
    <row r="67" spans="1:17" ht="12.75" customHeight="1">
      <c r="A67" s="41"/>
      <c r="B67" s="42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  <c r="P67" s="19"/>
      <c r="Q67" s="19"/>
    </row>
    <row r="68" spans="1:17" ht="15.75" customHeight="1">
      <c r="A68" s="41"/>
      <c r="B68" s="42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6"/>
      <c r="O68" s="7" t="s">
        <v>8</v>
      </c>
      <c r="P68" s="19"/>
      <c r="Q68" s="19"/>
    </row>
    <row r="69" spans="1:17" ht="18.75" customHeight="1">
      <c r="A69" s="41"/>
      <c r="B69" s="47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3" t="s">
        <v>8</v>
      </c>
      <c r="P69" s="19"/>
      <c r="Q69" s="19"/>
    </row>
    <row r="70" spans="1:17" ht="54" customHeight="1" thickBot="1">
      <c r="A70" s="41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7" t="s">
        <v>8</v>
      </c>
      <c r="P70" s="19"/>
      <c r="Q70" s="19"/>
    </row>
    <row r="71" spans="15:17" ht="46.5" customHeight="1">
      <c r="O71" s="3" t="s">
        <v>8</v>
      </c>
      <c r="P71" s="19"/>
      <c r="Q71" s="19"/>
    </row>
    <row r="72" spans="2:17" ht="12.75">
      <c r="B72"/>
      <c r="P72" s="19"/>
      <c r="Q72" s="19"/>
    </row>
    <row r="73" spans="2:17" ht="12.75">
      <c r="B73"/>
      <c r="P73" s="19"/>
      <c r="Q73" s="19"/>
    </row>
    <row r="74" spans="1:55" s="8" customFormat="1" ht="17.25">
      <c r="A74"/>
      <c r="B74"/>
      <c r="C74" s="53"/>
      <c r="D74" s="53"/>
      <c r="E74"/>
      <c r="F74"/>
      <c r="G74"/>
      <c r="H74"/>
      <c r="I74"/>
      <c r="J74"/>
      <c r="K74"/>
      <c r="L74" t="s">
        <v>10</v>
      </c>
      <c r="M74"/>
      <c r="N74"/>
      <c r="O74"/>
      <c r="P74" s="19"/>
      <c r="Q74" s="19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2:17" ht="12.75">
      <c r="B75"/>
      <c r="L75" t="s">
        <v>2</v>
      </c>
      <c r="P75" s="19"/>
      <c r="Q75" s="19"/>
    </row>
    <row r="76" spans="1:55" s="8" customFormat="1" ht="12.75">
      <c r="A76"/>
      <c r="B76"/>
      <c r="C76"/>
      <c r="D76"/>
      <c r="E76"/>
      <c r="F76"/>
      <c r="G76"/>
      <c r="H76"/>
      <c r="I76"/>
      <c r="J76"/>
      <c r="K76"/>
      <c r="L76" t="s">
        <v>2</v>
      </c>
      <c r="M76"/>
      <c r="N76"/>
      <c r="O76"/>
      <c r="P76" s="19"/>
      <c r="Q76" s="19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2:17" ht="12.75">
      <c r="B77"/>
      <c r="L77" t="s">
        <v>2</v>
      </c>
      <c r="P77" s="19"/>
      <c r="Q77" s="19"/>
    </row>
    <row r="78" spans="1:55" s="8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9"/>
      <c r="Q78" s="19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2:17" ht="12.75">
      <c r="B79"/>
      <c r="P79" s="19"/>
      <c r="Q79" s="19"/>
    </row>
    <row r="80" spans="1:55" s="8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9"/>
      <c r="Q80" s="19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2:17" ht="12.75">
      <c r="B81"/>
      <c r="P81" s="19"/>
      <c r="Q81" s="19"/>
    </row>
    <row r="82" spans="1:55" s="8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9"/>
      <c r="Q82" s="19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2:17" ht="12.75">
      <c r="B83"/>
      <c r="P83" s="19"/>
      <c r="Q83" s="19"/>
    </row>
    <row r="84" spans="1:55" s="8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19"/>
      <c r="Q84" s="19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2:17" ht="12.75">
      <c r="B85"/>
      <c r="P85" s="19"/>
      <c r="Q85" s="19"/>
    </row>
    <row r="86" spans="1:55" s="8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19"/>
      <c r="Q86" s="19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2:17" ht="12.75">
      <c r="B87"/>
      <c r="P87" s="19"/>
      <c r="Q87" s="19"/>
    </row>
    <row r="88" spans="1:55" s="8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19"/>
      <c r="Q88" s="19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2:17" ht="12.75">
      <c r="B89"/>
      <c r="P89" s="19"/>
      <c r="Q89" s="19"/>
    </row>
    <row r="90" spans="1:55" s="8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19"/>
      <c r="Q90" s="19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2:17" ht="12.75">
      <c r="B91"/>
      <c r="P91" s="19"/>
      <c r="Q91" s="19"/>
    </row>
    <row r="92" spans="1:55" s="8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19"/>
      <c r="Q92" s="19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2:17" ht="12.75">
      <c r="B93"/>
      <c r="P93" s="19"/>
      <c r="Q93" s="19"/>
    </row>
    <row r="94" spans="1:55" s="8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19"/>
      <c r="Q94" s="19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2:17" ht="12.75">
      <c r="B95"/>
      <c r="P95" s="19"/>
      <c r="Q95" s="19"/>
    </row>
    <row r="96" spans="1:55" s="8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19"/>
      <c r="Q96" s="19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2:17" ht="12.75">
      <c r="B97"/>
      <c r="P97" s="19"/>
      <c r="Q97" s="19"/>
    </row>
    <row r="98" spans="1:55" s="8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19"/>
      <c r="Q98" s="19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2:17" ht="12.75">
      <c r="B99"/>
      <c r="P99" s="19"/>
      <c r="Q99" s="19"/>
    </row>
    <row r="100" spans="1:55" s="8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19"/>
      <c r="Q100" s="19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2:17" ht="12.75">
      <c r="B101"/>
      <c r="P101" s="19"/>
      <c r="Q101" s="19"/>
    </row>
    <row r="102" spans="1:55" s="8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19"/>
      <c r="Q102" s="19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2:17" ht="12.75">
      <c r="B103"/>
      <c r="P103" s="19"/>
      <c r="Q103" s="19"/>
    </row>
    <row r="104" spans="1:55" s="8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9"/>
      <c r="Q104" s="19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2:17" ht="12.75">
      <c r="B105"/>
      <c r="P105" s="19"/>
      <c r="Q105" s="19"/>
    </row>
    <row r="106" spans="1:55" s="8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19"/>
      <c r="Q106" s="19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ht="12.75">
      <c r="B107"/>
    </row>
    <row r="108" spans="1:55" s="8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ht="12.75">
      <c r="B109"/>
    </row>
    <row r="110" spans="1:55" s="8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ht="12.75">
      <c r="B111"/>
    </row>
    <row r="112" spans="1:55" s="8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</row>
    <row r="113" ht="12.75">
      <c r="B113"/>
    </row>
    <row r="114" spans="1:55" s="8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5" ht="12.75">
      <c r="B115"/>
    </row>
    <row r="116" spans="1:55" s="8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5" customHeight="1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</sheetData>
  <sheetProtection/>
  <mergeCells count="195">
    <mergeCell ref="B62:C62"/>
    <mergeCell ref="B63:C63"/>
    <mergeCell ref="B22:B34"/>
    <mergeCell ref="B35:B46"/>
    <mergeCell ref="B47:B57"/>
    <mergeCell ref="B61:C61"/>
    <mergeCell ref="D4:E4"/>
    <mergeCell ref="D7:E7"/>
    <mergeCell ref="D10:E10"/>
    <mergeCell ref="D23:E23"/>
    <mergeCell ref="D5:E5"/>
    <mergeCell ref="D17:E17"/>
    <mergeCell ref="D18:E18"/>
    <mergeCell ref="D19:E19"/>
    <mergeCell ref="D20:E20"/>
    <mergeCell ref="D36:E36"/>
    <mergeCell ref="D48:E48"/>
    <mergeCell ref="G10:H10"/>
    <mergeCell ref="J10:K10"/>
    <mergeCell ref="D11:E11"/>
    <mergeCell ref="D12:E12"/>
    <mergeCell ref="D13:E13"/>
    <mergeCell ref="D14:E14"/>
    <mergeCell ref="D15:E15"/>
    <mergeCell ref="D16:E16"/>
    <mergeCell ref="M10:N10"/>
    <mergeCell ref="G7:H7"/>
    <mergeCell ref="J7:K7"/>
    <mergeCell ref="M7:N7"/>
    <mergeCell ref="B8:N8"/>
    <mergeCell ref="B9:B21"/>
    <mergeCell ref="G11:H11"/>
    <mergeCell ref="G12:H12"/>
    <mergeCell ref="G13:H13"/>
    <mergeCell ref="G14:H14"/>
    <mergeCell ref="J4:K4"/>
    <mergeCell ref="G4:H4"/>
    <mergeCell ref="M4:N4"/>
    <mergeCell ref="G5:H5"/>
    <mergeCell ref="J5:K5"/>
    <mergeCell ref="M5:N5"/>
    <mergeCell ref="G15:H15"/>
    <mergeCell ref="G16:H16"/>
    <mergeCell ref="G17:H17"/>
    <mergeCell ref="G18:H18"/>
    <mergeCell ref="J11:K11"/>
    <mergeCell ref="J12:K12"/>
    <mergeCell ref="J13:K13"/>
    <mergeCell ref="J14:K14"/>
    <mergeCell ref="J15:K15"/>
    <mergeCell ref="J16:K16"/>
    <mergeCell ref="M11:N11"/>
    <mergeCell ref="M12:N12"/>
    <mergeCell ref="M13:N13"/>
    <mergeCell ref="M14:N14"/>
    <mergeCell ref="J19:K19"/>
    <mergeCell ref="J20:K20"/>
    <mergeCell ref="M15:N15"/>
    <mergeCell ref="M16:N16"/>
    <mergeCell ref="M17:N17"/>
    <mergeCell ref="M18:N18"/>
    <mergeCell ref="J17:K17"/>
    <mergeCell ref="J18:K18"/>
    <mergeCell ref="M19:N19"/>
    <mergeCell ref="M20:N20"/>
    <mergeCell ref="G36:H36"/>
    <mergeCell ref="J36:K36"/>
    <mergeCell ref="M36:N36"/>
    <mergeCell ref="G23:H23"/>
    <mergeCell ref="J23:K23"/>
    <mergeCell ref="M23:N23"/>
    <mergeCell ref="G19:H19"/>
    <mergeCell ref="G20:H20"/>
    <mergeCell ref="D37:E37"/>
    <mergeCell ref="G37:H37"/>
    <mergeCell ref="J37:K37"/>
    <mergeCell ref="M37:N37"/>
    <mergeCell ref="D24:E24"/>
    <mergeCell ref="G24:H24"/>
    <mergeCell ref="J24:K24"/>
    <mergeCell ref="M24:N24"/>
    <mergeCell ref="M41:N41"/>
    <mergeCell ref="D38:E38"/>
    <mergeCell ref="G38:H38"/>
    <mergeCell ref="J38:K38"/>
    <mergeCell ref="M38:N38"/>
    <mergeCell ref="D39:E39"/>
    <mergeCell ref="G39:H39"/>
    <mergeCell ref="J39:K39"/>
    <mergeCell ref="M39:N39"/>
    <mergeCell ref="G43:H43"/>
    <mergeCell ref="J43:K43"/>
    <mergeCell ref="M43:N43"/>
    <mergeCell ref="D40:E40"/>
    <mergeCell ref="G40:H40"/>
    <mergeCell ref="J40:K40"/>
    <mergeCell ref="M40:N40"/>
    <mergeCell ref="D41:E41"/>
    <mergeCell ref="G41:H41"/>
    <mergeCell ref="J41:K41"/>
    <mergeCell ref="M44:N44"/>
    <mergeCell ref="D45:E45"/>
    <mergeCell ref="G45:H45"/>
    <mergeCell ref="J45:K45"/>
    <mergeCell ref="M45:N45"/>
    <mergeCell ref="D42:E42"/>
    <mergeCell ref="G42:H42"/>
    <mergeCell ref="J42:K42"/>
    <mergeCell ref="M42:N42"/>
    <mergeCell ref="D43:E43"/>
    <mergeCell ref="D25:E25"/>
    <mergeCell ref="G25:H25"/>
    <mergeCell ref="J25:K25"/>
    <mergeCell ref="M25:N25"/>
    <mergeCell ref="D26:E26"/>
    <mergeCell ref="G26:H26"/>
    <mergeCell ref="J26:K26"/>
    <mergeCell ref="M26:N26"/>
    <mergeCell ref="D27:E27"/>
    <mergeCell ref="G27:H27"/>
    <mergeCell ref="J27:K27"/>
    <mergeCell ref="M27:N27"/>
    <mergeCell ref="D28:E28"/>
    <mergeCell ref="G28:H28"/>
    <mergeCell ref="J28:K28"/>
    <mergeCell ref="M28:N28"/>
    <mergeCell ref="D29:E29"/>
    <mergeCell ref="G29:H29"/>
    <mergeCell ref="J29:K29"/>
    <mergeCell ref="M29:N29"/>
    <mergeCell ref="D30:E30"/>
    <mergeCell ref="G30:H30"/>
    <mergeCell ref="J30:K30"/>
    <mergeCell ref="M30:N30"/>
    <mergeCell ref="D31:E31"/>
    <mergeCell ref="G31:H31"/>
    <mergeCell ref="J31:K31"/>
    <mergeCell ref="M31:N31"/>
    <mergeCell ref="D32:E32"/>
    <mergeCell ref="G32:H32"/>
    <mergeCell ref="J32:K32"/>
    <mergeCell ref="M32:N32"/>
    <mergeCell ref="D33:E33"/>
    <mergeCell ref="G33:H33"/>
    <mergeCell ref="J33:K33"/>
    <mergeCell ref="M33:N33"/>
    <mergeCell ref="G48:H48"/>
    <mergeCell ref="J48:K48"/>
    <mergeCell ref="M48:N48"/>
    <mergeCell ref="D44:E44"/>
    <mergeCell ref="G44:H44"/>
    <mergeCell ref="J44:K44"/>
    <mergeCell ref="D49:E49"/>
    <mergeCell ref="G49:H49"/>
    <mergeCell ref="J49:K49"/>
    <mergeCell ref="M49:N49"/>
    <mergeCell ref="D50:E50"/>
    <mergeCell ref="G50:H50"/>
    <mergeCell ref="J50:K50"/>
    <mergeCell ref="M50:N50"/>
    <mergeCell ref="D55:E55"/>
    <mergeCell ref="G55:H55"/>
    <mergeCell ref="J55:K55"/>
    <mergeCell ref="M55:N55"/>
    <mergeCell ref="D51:E51"/>
    <mergeCell ref="G51:H51"/>
    <mergeCell ref="J51:K51"/>
    <mergeCell ref="M51:N51"/>
    <mergeCell ref="D53:E53"/>
    <mergeCell ref="G53:H53"/>
    <mergeCell ref="D52:E52"/>
    <mergeCell ref="G52:H52"/>
    <mergeCell ref="J52:K52"/>
    <mergeCell ref="M52:N52"/>
    <mergeCell ref="D54:E54"/>
    <mergeCell ref="G54:H54"/>
    <mergeCell ref="J54:K54"/>
    <mergeCell ref="M54:N54"/>
    <mergeCell ref="J53:K53"/>
    <mergeCell ref="M53:N53"/>
    <mergeCell ref="M58:N58"/>
    <mergeCell ref="M59:N59"/>
    <mergeCell ref="M60:N60"/>
    <mergeCell ref="D56:E56"/>
    <mergeCell ref="G56:H56"/>
    <mergeCell ref="J56:K56"/>
    <mergeCell ref="M56:N56"/>
    <mergeCell ref="D59:E59"/>
    <mergeCell ref="D60:E60"/>
    <mergeCell ref="G58:H58"/>
    <mergeCell ref="G59:H59"/>
    <mergeCell ref="G60:H60"/>
    <mergeCell ref="J58:K58"/>
    <mergeCell ref="J59:K59"/>
    <mergeCell ref="J60:K60"/>
  </mergeCells>
  <printOptions horizontalCentered="1"/>
  <pageMargins left="0.25" right="0.25" top="0.5" bottom="0.5" header="0.25" footer="0.25"/>
  <pageSetup fitToHeight="1" fitToWidth="1" horizontalDpi="1200" verticalDpi="1200" orientation="portrait" scale="70" r:id="rId2"/>
  <headerFooter alignWithMargins="0">
    <oddHeader>&amp;C&amp;"Arial,Bold"MNRAM 3.2 Wetland Assessment Data Form Page 1</oddHeader>
    <oddFooter>&amp;L&amp;F&amp;C&amp;"Arial,Italic"Vegetative Diversity &amp; Integrity&amp;R&amp;D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9"/>
  <sheetViews>
    <sheetView zoomScale="75" zoomScaleNormal="75" zoomScalePageLayoutView="0" workbookViewId="0" topLeftCell="A34">
      <selection activeCell="B63" sqref="B63"/>
    </sheetView>
  </sheetViews>
  <sheetFormatPr defaultColWidth="9.140625" defaultRowHeight="12.75"/>
  <cols>
    <col min="1" max="1" width="5.8515625" style="25" customWidth="1"/>
    <col min="2" max="2" width="44.140625" style="0" customWidth="1"/>
    <col min="3" max="3" width="21.7109375" style="0" customWidth="1"/>
    <col min="4" max="4" width="18.7109375" style="0" hidden="1" customWidth="1"/>
    <col min="5" max="5" width="21.7109375" style="0" customWidth="1"/>
    <col min="6" max="6" width="22.28125" style="0" customWidth="1"/>
    <col min="7" max="7" width="21.7109375" style="0" customWidth="1"/>
    <col min="8" max="9" width="21.00390625" style="0" customWidth="1"/>
    <col min="10" max="10" width="18.7109375" style="0" hidden="1" customWidth="1"/>
    <col min="11" max="11" width="18.421875" style="0" customWidth="1"/>
    <col min="12" max="12" width="28.140625" style="0" customWidth="1"/>
    <col min="13" max="13" width="25.7109375" style="0" customWidth="1"/>
  </cols>
  <sheetData>
    <row r="2" ht="22.5">
      <c r="B2" s="404" t="s">
        <v>396</v>
      </c>
    </row>
    <row r="3" spans="1:10" ht="13.5" thickBot="1">
      <c r="A3" s="78"/>
      <c r="C3" s="2"/>
      <c r="D3" s="2"/>
      <c r="E3" s="2"/>
      <c r="F3" s="2"/>
      <c r="G3" s="2"/>
      <c r="J3" s="2"/>
    </row>
    <row r="4" spans="1:10" ht="22.5" customHeight="1">
      <c r="A4" s="32"/>
      <c r="B4" s="16" t="s">
        <v>28</v>
      </c>
      <c r="C4" s="295" t="s">
        <v>19</v>
      </c>
      <c r="D4" s="296" t="s">
        <v>19</v>
      </c>
      <c r="E4" s="295" t="s">
        <v>19</v>
      </c>
      <c r="F4" s="295" t="s">
        <v>19</v>
      </c>
      <c r="G4" s="297" t="s">
        <v>19</v>
      </c>
      <c r="J4" s="5"/>
    </row>
    <row r="5" spans="1:10" ht="12.75">
      <c r="A5" s="61" t="s">
        <v>30</v>
      </c>
      <c r="B5" s="17"/>
      <c r="C5" s="10"/>
      <c r="D5" s="10" t="s">
        <v>5</v>
      </c>
      <c r="E5" s="10"/>
      <c r="F5" s="10"/>
      <c r="G5" s="14"/>
      <c r="J5" s="1" t="s">
        <v>5</v>
      </c>
    </row>
    <row r="6" spans="1:10" ht="12.75">
      <c r="A6" s="26" t="s">
        <v>29</v>
      </c>
      <c r="B6" s="11" t="s">
        <v>1</v>
      </c>
      <c r="C6" s="10" t="s">
        <v>4</v>
      </c>
      <c r="D6" s="9" t="s">
        <v>6</v>
      </c>
      <c r="E6" s="10" t="s">
        <v>4</v>
      </c>
      <c r="F6" s="10" t="s">
        <v>4</v>
      </c>
      <c r="G6" s="14" t="s">
        <v>4</v>
      </c>
      <c r="J6" s="5" t="s">
        <v>6</v>
      </c>
    </row>
    <row r="7" spans="1:10" ht="78.75" customHeight="1">
      <c r="A7" s="38">
        <v>7</v>
      </c>
      <c r="B7" s="39" t="s">
        <v>25</v>
      </c>
      <c r="C7" s="253" t="s">
        <v>26</v>
      </c>
      <c r="D7" s="254"/>
      <c r="E7" s="253" t="s">
        <v>26</v>
      </c>
      <c r="F7" s="253" t="s">
        <v>26</v>
      </c>
      <c r="G7" s="255" t="s">
        <v>26</v>
      </c>
      <c r="J7" s="18" t="s">
        <v>15</v>
      </c>
    </row>
    <row r="8" spans="1:10" ht="13.5" customHeight="1">
      <c r="A8" s="27">
        <v>8</v>
      </c>
      <c r="B8" s="200" t="s">
        <v>188</v>
      </c>
      <c r="C8" s="256" t="s">
        <v>27</v>
      </c>
      <c r="D8" s="250"/>
      <c r="E8" s="256" t="s">
        <v>27</v>
      </c>
      <c r="F8" s="256" t="s">
        <v>27</v>
      </c>
      <c r="G8" s="257" t="s">
        <v>27</v>
      </c>
      <c r="J8" s="7" t="s">
        <v>15</v>
      </c>
    </row>
    <row r="9" spans="1:10" ht="12.75" customHeight="1">
      <c r="A9" s="38">
        <v>9</v>
      </c>
      <c r="B9" s="201" t="s">
        <v>244</v>
      </c>
      <c r="C9" s="258"/>
      <c r="D9" s="254"/>
      <c r="E9" s="258"/>
      <c r="F9" s="258"/>
      <c r="G9" s="259"/>
      <c r="J9" s="18" t="s">
        <v>15</v>
      </c>
    </row>
    <row r="10" spans="1:10" ht="12.75" customHeight="1">
      <c r="A10" s="228">
        <v>10</v>
      </c>
      <c r="B10" s="440" t="s">
        <v>245</v>
      </c>
      <c r="C10" s="260"/>
      <c r="D10" s="261"/>
      <c r="E10" s="260"/>
      <c r="F10" s="260"/>
      <c r="G10" s="262"/>
      <c r="J10" s="18"/>
    </row>
    <row r="11" spans="1:10" ht="19.5" customHeight="1">
      <c r="A11" s="38">
        <v>11</v>
      </c>
      <c r="B11" s="201" t="s">
        <v>187</v>
      </c>
      <c r="C11" s="258" t="s">
        <v>24</v>
      </c>
      <c r="D11" s="254"/>
      <c r="E11" s="258"/>
      <c r="F11" s="258"/>
      <c r="G11" s="259"/>
      <c r="J11" s="7" t="s">
        <v>13</v>
      </c>
    </row>
    <row r="12" spans="1:10" ht="12.75">
      <c r="A12" s="27">
        <v>12</v>
      </c>
      <c r="B12" s="200" t="s">
        <v>31</v>
      </c>
      <c r="C12" s="263" t="s">
        <v>270</v>
      </c>
      <c r="D12" s="263" t="s">
        <v>270</v>
      </c>
      <c r="E12" s="263" t="s">
        <v>270</v>
      </c>
      <c r="F12" s="263" t="s">
        <v>270</v>
      </c>
      <c r="G12" s="264" t="s">
        <v>270</v>
      </c>
      <c r="J12" s="18" t="s">
        <v>13</v>
      </c>
    </row>
    <row r="13" spans="1:10" ht="12.75">
      <c r="A13" s="70">
        <v>13</v>
      </c>
      <c r="B13" s="62" t="s">
        <v>32</v>
      </c>
      <c r="C13" s="265" t="s">
        <v>270</v>
      </c>
      <c r="D13" s="265" t="s">
        <v>270</v>
      </c>
      <c r="E13" s="265" t="s">
        <v>270</v>
      </c>
      <c r="F13" s="265" t="s">
        <v>270</v>
      </c>
      <c r="G13" s="266" t="s">
        <v>270</v>
      </c>
      <c r="J13" s="7" t="s">
        <v>13</v>
      </c>
    </row>
    <row r="14" spans="1:10" ht="12.75">
      <c r="A14" s="43">
        <v>14</v>
      </c>
      <c r="B14" s="299" t="s">
        <v>261</v>
      </c>
      <c r="C14" s="300" t="s">
        <v>271</v>
      </c>
      <c r="D14" s="300" t="s">
        <v>271</v>
      </c>
      <c r="E14" s="300" t="s">
        <v>271</v>
      </c>
      <c r="F14" s="300" t="s">
        <v>271</v>
      </c>
      <c r="G14" s="301" t="s">
        <v>271</v>
      </c>
      <c r="J14" s="18" t="s">
        <v>13</v>
      </c>
    </row>
    <row r="15" spans="1:10" ht="12.75">
      <c r="A15" s="70">
        <v>15</v>
      </c>
      <c r="B15" s="62" t="s">
        <v>33</v>
      </c>
      <c r="C15" s="265" t="s">
        <v>272</v>
      </c>
      <c r="D15" s="265" t="s">
        <v>272</v>
      </c>
      <c r="E15" s="265" t="s">
        <v>272</v>
      </c>
      <c r="F15" s="265" t="s">
        <v>272</v>
      </c>
      <c r="G15" s="266" t="s">
        <v>272</v>
      </c>
      <c r="J15" s="7" t="s">
        <v>14</v>
      </c>
    </row>
    <row r="16" spans="1:10" ht="15.75" customHeight="1">
      <c r="A16" s="43">
        <v>16</v>
      </c>
      <c r="B16" s="199" t="s">
        <v>291</v>
      </c>
      <c r="C16" s="267" t="s">
        <v>34</v>
      </c>
      <c r="D16" s="267" t="s">
        <v>34</v>
      </c>
      <c r="E16" s="267" t="s">
        <v>34</v>
      </c>
      <c r="F16" s="267" t="s">
        <v>34</v>
      </c>
      <c r="G16" s="268" t="s">
        <v>34</v>
      </c>
      <c r="J16" s="18" t="s">
        <v>13</v>
      </c>
    </row>
    <row r="17" spans="1:10" ht="12.75">
      <c r="A17" s="70">
        <v>17</v>
      </c>
      <c r="B17" s="62" t="s">
        <v>292</v>
      </c>
      <c r="C17" s="265" t="s">
        <v>270</v>
      </c>
      <c r="D17" s="265" t="s">
        <v>270</v>
      </c>
      <c r="E17" s="265" t="s">
        <v>270</v>
      </c>
      <c r="F17" s="265" t="s">
        <v>270</v>
      </c>
      <c r="G17" s="266" t="s">
        <v>270</v>
      </c>
      <c r="J17" s="7" t="s">
        <v>8</v>
      </c>
    </row>
    <row r="18" spans="1:10" ht="12.75">
      <c r="A18" s="43">
        <v>18</v>
      </c>
      <c r="B18" s="68" t="s">
        <v>36</v>
      </c>
      <c r="C18" s="267" t="s">
        <v>300</v>
      </c>
      <c r="D18" s="267" t="s">
        <v>300</v>
      </c>
      <c r="E18" s="267" t="s">
        <v>300</v>
      </c>
      <c r="F18" s="267" t="s">
        <v>300</v>
      </c>
      <c r="G18" s="268" t="s">
        <v>300</v>
      </c>
      <c r="J18" s="18" t="s">
        <v>8</v>
      </c>
    </row>
    <row r="19" spans="1:10" ht="12.75">
      <c r="A19" s="70">
        <v>19</v>
      </c>
      <c r="B19" s="63" t="s">
        <v>37</v>
      </c>
      <c r="C19" s="269" t="s">
        <v>300</v>
      </c>
      <c r="D19" s="269" t="s">
        <v>300</v>
      </c>
      <c r="E19" s="269" t="s">
        <v>300</v>
      </c>
      <c r="F19" s="269" t="s">
        <v>300</v>
      </c>
      <c r="G19" s="270" t="s">
        <v>300</v>
      </c>
      <c r="J19" s="7" t="s">
        <v>8</v>
      </c>
    </row>
    <row r="20" spans="1:10" ht="12.75">
      <c r="A20" s="43">
        <v>20</v>
      </c>
      <c r="B20" s="68" t="s">
        <v>35</v>
      </c>
      <c r="C20" s="267" t="s">
        <v>300</v>
      </c>
      <c r="D20" s="267" t="s">
        <v>300</v>
      </c>
      <c r="E20" s="267" t="s">
        <v>300</v>
      </c>
      <c r="F20" s="267" t="s">
        <v>300</v>
      </c>
      <c r="G20" s="268" t="s">
        <v>300</v>
      </c>
      <c r="J20" s="18" t="s">
        <v>8</v>
      </c>
    </row>
    <row r="21" spans="1:10" ht="12.75">
      <c r="A21" s="70">
        <v>21</v>
      </c>
      <c r="B21" s="63" t="s">
        <v>38</v>
      </c>
      <c r="C21" s="269" t="s">
        <v>300</v>
      </c>
      <c r="D21" s="269" t="s">
        <v>300</v>
      </c>
      <c r="E21" s="269" t="s">
        <v>300</v>
      </c>
      <c r="F21" s="269" t="s">
        <v>300</v>
      </c>
      <c r="G21" s="270" t="s">
        <v>300</v>
      </c>
      <c r="J21" s="7" t="s">
        <v>8</v>
      </c>
    </row>
    <row r="22" spans="1:10" ht="12.75">
      <c r="A22" s="43">
        <v>22</v>
      </c>
      <c r="B22" s="23" t="s">
        <v>39</v>
      </c>
      <c r="C22" s="271" t="s">
        <v>300</v>
      </c>
      <c r="D22" s="271" t="s">
        <v>300</v>
      </c>
      <c r="E22" s="271" t="s">
        <v>300</v>
      </c>
      <c r="F22" s="271" t="s">
        <v>300</v>
      </c>
      <c r="G22" s="272" t="s">
        <v>300</v>
      </c>
      <c r="J22" s="28" t="s">
        <v>8</v>
      </c>
    </row>
    <row r="23" spans="1:10" ht="12.75">
      <c r="A23" s="70">
        <v>23</v>
      </c>
      <c r="B23" s="62" t="s">
        <v>373</v>
      </c>
      <c r="C23" s="265" t="s">
        <v>258</v>
      </c>
      <c r="D23" s="265" t="s">
        <v>258</v>
      </c>
      <c r="E23" s="265" t="s">
        <v>258</v>
      </c>
      <c r="F23" s="265" t="s">
        <v>258</v>
      </c>
      <c r="G23" s="266" t="s">
        <v>258</v>
      </c>
      <c r="J23" s="7" t="s">
        <v>8</v>
      </c>
    </row>
    <row r="24" spans="1:10" ht="27.75" customHeight="1">
      <c r="A24" s="43">
        <v>24</v>
      </c>
      <c r="B24" s="31" t="s">
        <v>374</v>
      </c>
      <c r="C24" s="306" t="s">
        <v>306</v>
      </c>
      <c r="D24" s="306" t="s">
        <v>306</v>
      </c>
      <c r="E24" s="306" t="s">
        <v>306</v>
      </c>
      <c r="F24" s="306" t="s">
        <v>312</v>
      </c>
      <c r="G24" s="309" t="s">
        <v>306</v>
      </c>
      <c r="J24" s="18" t="s">
        <v>13</v>
      </c>
    </row>
    <row r="25" spans="1:10" ht="27.75" customHeight="1">
      <c r="A25" s="38">
        <v>25</v>
      </c>
      <c r="B25" s="77" t="s">
        <v>375</v>
      </c>
      <c r="C25" s="307" t="s">
        <v>307</v>
      </c>
      <c r="D25" s="307" t="s">
        <v>307</v>
      </c>
      <c r="E25" s="307" t="s">
        <v>307</v>
      </c>
      <c r="F25" s="307" t="s">
        <v>307</v>
      </c>
      <c r="G25" s="310" t="s">
        <v>307</v>
      </c>
      <c r="J25" s="7" t="s">
        <v>8</v>
      </c>
    </row>
    <row r="26" spans="1:10" ht="27.75" customHeight="1">
      <c r="A26" s="43">
        <v>26</v>
      </c>
      <c r="B26" s="31" t="s">
        <v>262</v>
      </c>
      <c r="C26" s="306" t="s">
        <v>308</v>
      </c>
      <c r="D26" s="306" t="s">
        <v>308</v>
      </c>
      <c r="E26" s="306" t="s">
        <v>308</v>
      </c>
      <c r="F26" s="306" t="s">
        <v>308</v>
      </c>
      <c r="G26" s="309" t="s">
        <v>308</v>
      </c>
      <c r="J26" s="18" t="s">
        <v>8</v>
      </c>
    </row>
    <row r="27" spans="1:10" s="304" customFormat="1" ht="12.75" customHeight="1">
      <c r="A27" s="65">
        <v>27</v>
      </c>
      <c r="B27" s="201" t="s">
        <v>277</v>
      </c>
      <c r="C27" s="302" t="s">
        <v>300</v>
      </c>
      <c r="D27" s="302" t="s">
        <v>300</v>
      </c>
      <c r="E27" s="302" t="s">
        <v>300</v>
      </c>
      <c r="F27" s="302" t="s">
        <v>300</v>
      </c>
      <c r="G27" s="303" t="s">
        <v>300</v>
      </c>
      <c r="J27" s="305" t="s">
        <v>8</v>
      </c>
    </row>
    <row r="28" spans="1:10" ht="12.75">
      <c r="A28" s="43">
        <v>28</v>
      </c>
      <c r="B28" s="23" t="s">
        <v>40</v>
      </c>
      <c r="C28" s="271" t="s">
        <v>300</v>
      </c>
      <c r="D28" s="271" t="s">
        <v>300</v>
      </c>
      <c r="E28" s="271" t="s">
        <v>300</v>
      </c>
      <c r="F28" s="271" t="s">
        <v>300</v>
      </c>
      <c r="G28" s="272" t="s">
        <v>300</v>
      </c>
      <c r="J28" s="18" t="s">
        <v>16</v>
      </c>
    </row>
    <row r="29" spans="1:10" ht="12.75">
      <c r="A29" s="38">
        <v>29</v>
      </c>
      <c r="B29" s="62" t="s">
        <v>41</v>
      </c>
      <c r="C29" s="265" t="s">
        <v>2</v>
      </c>
      <c r="D29" s="265" t="s">
        <v>2</v>
      </c>
      <c r="E29" s="265" t="s">
        <v>2</v>
      </c>
      <c r="F29" s="265" t="s">
        <v>2</v>
      </c>
      <c r="G29" s="266" t="s">
        <v>2</v>
      </c>
      <c r="J29" s="7" t="s">
        <v>8</v>
      </c>
    </row>
    <row r="30" spans="1:10" ht="12.75" customHeight="1">
      <c r="A30" s="43">
        <v>30</v>
      </c>
      <c r="B30" s="31" t="s">
        <v>303</v>
      </c>
      <c r="C30" s="273" t="s">
        <v>78</v>
      </c>
      <c r="D30" s="273" t="s">
        <v>78</v>
      </c>
      <c r="E30" s="273" t="s">
        <v>78</v>
      </c>
      <c r="F30" s="273" t="s">
        <v>78</v>
      </c>
      <c r="G30" s="274" t="s">
        <v>78</v>
      </c>
      <c r="J30" s="18" t="s">
        <v>8</v>
      </c>
    </row>
    <row r="31" spans="1:10" ht="12.75" customHeight="1">
      <c r="A31" s="38">
        <v>31</v>
      </c>
      <c r="B31" s="44" t="s">
        <v>268</v>
      </c>
      <c r="C31" s="277" t="s">
        <v>62</v>
      </c>
      <c r="D31" s="277" t="s">
        <v>62</v>
      </c>
      <c r="E31" s="277" t="s">
        <v>62</v>
      </c>
      <c r="F31" s="277" t="s">
        <v>62</v>
      </c>
      <c r="G31" s="278" t="s">
        <v>62</v>
      </c>
      <c r="J31" s="7" t="s">
        <v>8</v>
      </c>
    </row>
    <row r="32" spans="1:10" ht="12.75">
      <c r="A32" s="64">
        <v>32</v>
      </c>
      <c r="B32" s="23" t="s">
        <v>263</v>
      </c>
      <c r="C32" s="271" t="s">
        <v>300</v>
      </c>
      <c r="D32" s="271" t="s">
        <v>300</v>
      </c>
      <c r="E32" s="271" t="s">
        <v>300</v>
      </c>
      <c r="F32" s="271" t="s">
        <v>300</v>
      </c>
      <c r="G32" s="272" t="s">
        <v>300</v>
      </c>
      <c r="J32" s="18" t="s">
        <v>8</v>
      </c>
    </row>
    <row r="33" spans="1:10" ht="12.75">
      <c r="A33" s="38">
        <v>33</v>
      </c>
      <c r="B33" s="62" t="s">
        <v>248</v>
      </c>
      <c r="C33" s="275" t="s">
        <v>300</v>
      </c>
      <c r="D33" s="275" t="s">
        <v>300</v>
      </c>
      <c r="E33" s="275" t="s">
        <v>300</v>
      </c>
      <c r="F33" s="275" t="s">
        <v>300</v>
      </c>
      <c r="G33" s="276" t="s">
        <v>300</v>
      </c>
      <c r="J33" s="7" t="s">
        <v>8</v>
      </c>
    </row>
    <row r="34" spans="1:10" ht="12.75">
      <c r="A34" s="43">
        <v>34</v>
      </c>
      <c r="B34" s="23" t="s">
        <v>269</v>
      </c>
      <c r="C34" s="271" t="s">
        <v>300</v>
      </c>
      <c r="D34" s="271" t="s">
        <v>300</v>
      </c>
      <c r="E34" s="271" t="s">
        <v>300</v>
      </c>
      <c r="F34" s="271" t="s">
        <v>300</v>
      </c>
      <c r="G34" s="272" t="s">
        <v>300</v>
      </c>
      <c r="J34" s="18" t="s">
        <v>8</v>
      </c>
    </row>
    <row r="35" spans="1:10" ht="12.75">
      <c r="A35" s="38">
        <v>35</v>
      </c>
      <c r="B35" s="63" t="s">
        <v>3</v>
      </c>
      <c r="C35" s="269" t="s">
        <v>2</v>
      </c>
      <c r="D35" s="269" t="s">
        <v>2</v>
      </c>
      <c r="E35" s="269" t="s">
        <v>2</v>
      </c>
      <c r="F35" s="269" t="s">
        <v>2</v>
      </c>
      <c r="G35" s="270" t="s">
        <v>2</v>
      </c>
      <c r="J35" s="7" t="s">
        <v>7</v>
      </c>
    </row>
    <row r="36" spans="1:10" ht="12.75">
      <c r="A36" s="43">
        <v>36</v>
      </c>
      <c r="B36" s="22" t="s">
        <v>293</v>
      </c>
      <c r="C36" s="279" t="s">
        <v>2</v>
      </c>
      <c r="D36" s="279" t="s">
        <v>2</v>
      </c>
      <c r="E36" s="279" t="s">
        <v>2</v>
      </c>
      <c r="F36" s="279" t="s">
        <v>2</v>
      </c>
      <c r="G36" s="280" t="s">
        <v>2</v>
      </c>
      <c r="J36" s="18" t="s">
        <v>12</v>
      </c>
    </row>
    <row r="37" spans="1:10" ht="12.75">
      <c r="A37" s="38">
        <v>37</v>
      </c>
      <c r="B37" s="229" t="s">
        <v>294</v>
      </c>
      <c r="C37" s="281" t="s">
        <v>183</v>
      </c>
      <c r="D37" s="281" t="s">
        <v>183</v>
      </c>
      <c r="E37" s="281" t="s">
        <v>183</v>
      </c>
      <c r="F37" s="281" t="s">
        <v>183</v>
      </c>
      <c r="G37" s="282" t="s">
        <v>183</v>
      </c>
      <c r="J37" s="7" t="s">
        <v>8</v>
      </c>
    </row>
    <row r="38" spans="1:10" ht="12.75">
      <c r="A38" s="43">
        <v>38</v>
      </c>
      <c r="B38" s="23" t="s">
        <v>295</v>
      </c>
      <c r="C38" s="271" t="s">
        <v>257</v>
      </c>
      <c r="D38" s="271" t="s">
        <v>257</v>
      </c>
      <c r="E38" s="271" t="s">
        <v>257</v>
      </c>
      <c r="F38" s="271" t="s">
        <v>257</v>
      </c>
      <c r="G38" s="272" t="s">
        <v>257</v>
      </c>
      <c r="J38" s="18" t="s">
        <v>18</v>
      </c>
    </row>
    <row r="39" spans="1:10" ht="12.75">
      <c r="A39" s="38">
        <v>39</v>
      </c>
      <c r="B39" s="62" t="s">
        <v>45</v>
      </c>
      <c r="C39" s="265" t="s">
        <v>270</v>
      </c>
      <c r="D39" s="265" t="s">
        <v>270</v>
      </c>
      <c r="E39" s="265" t="s">
        <v>270</v>
      </c>
      <c r="F39" s="265" t="s">
        <v>270</v>
      </c>
      <c r="G39" s="266" t="s">
        <v>270</v>
      </c>
      <c r="J39" s="7" t="s">
        <v>8</v>
      </c>
    </row>
    <row r="40" spans="1:10" ht="12.75">
      <c r="A40" s="43">
        <v>40</v>
      </c>
      <c r="B40" s="22" t="s">
        <v>264</v>
      </c>
      <c r="C40" s="279" t="s">
        <v>300</v>
      </c>
      <c r="D40" s="279" t="s">
        <v>300</v>
      </c>
      <c r="E40" s="279" t="s">
        <v>300</v>
      </c>
      <c r="F40" s="279" t="s">
        <v>300</v>
      </c>
      <c r="G40" s="280" t="s">
        <v>300</v>
      </c>
      <c r="J40" s="28" t="s">
        <v>8</v>
      </c>
    </row>
    <row r="41" spans="1:10" ht="12.75">
      <c r="A41" s="65">
        <v>41</v>
      </c>
      <c r="B41" s="229" t="s">
        <v>46</v>
      </c>
      <c r="C41" s="281" t="s">
        <v>300</v>
      </c>
      <c r="D41" s="281" t="s">
        <v>300</v>
      </c>
      <c r="E41" s="281" t="s">
        <v>300</v>
      </c>
      <c r="F41" s="281" t="s">
        <v>300</v>
      </c>
      <c r="G41" s="282" t="s">
        <v>300</v>
      </c>
      <c r="J41" s="7"/>
    </row>
    <row r="42" spans="1:10" ht="12.75">
      <c r="A42" s="43">
        <v>42</v>
      </c>
      <c r="B42" s="23" t="s">
        <v>296</v>
      </c>
      <c r="C42" s="283" t="s">
        <v>313</v>
      </c>
      <c r="D42" s="283" t="s">
        <v>313</v>
      </c>
      <c r="E42" s="283" t="s">
        <v>313</v>
      </c>
      <c r="F42" s="283" t="s">
        <v>313</v>
      </c>
      <c r="G42" s="284" t="s">
        <v>313</v>
      </c>
      <c r="J42" s="18" t="s">
        <v>7</v>
      </c>
    </row>
    <row r="43" spans="1:10" ht="12.75">
      <c r="A43" s="38">
        <v>43</v>
      </c>
      <c r="B43" s="62" t="s">
        <v>249</v>
      </c>
      <c r="C43" s="265" t="s">
        <v>300</v>
      </c>
      <c r="D43" s="265" t="s">
        <v>300</v>
      </c>
      <c r="E43" s="265" t="s">
        <v>300</v>
      </c>
      <c r="F43" s="265" t="s">
        <v>300</v>
      </c>
      <c r="G43" s="266" t="s">
        <v>300</v>
      </c>
      <c r="J43" s="7" t="s">
        <v>13</v>
      </c>
    </row>
    <row r="44" spans="1:10" ht="12.75">
      <c r="A44" s="43">
        <v>44</v>
      </c>
      <c r="B44" s="23" t="s">
        <v>250</v>
      </c>
      <c r="C44" s="271" t="s">
        <v>270</v>
      </c>
      <c r="D44" s="271" t="s">
        <v>270</v>
      </c>
      <c r="E44" s="271" t="s">
        <v>270</v>
      </c>
      <c r="F44" s="271" t="s">
        <v>270</v>
      </c>
      <c r="G44" s="272" t="s">
        <v>270</v>
      </c>
      <c r="J44" s="7"/>
    </row>
    <row r="45" spans="1:10" ht="12.75">
      <c r="A45" s="38">
        <v>45</v>
      </c>
      <c r="B45" s="62" t="s">
        <v>63</v>
      </c>
      <c r="C45" s="265"/>
      <c r="D45" s="265"/>
      <c r="E45" s="265"/>
      <c r="F45" s="265"/>
      <c r="G45" s="266"/>
      <c r="J45" s="18"/>
    </row>
    <row r="46" spans="1:10" ht="12.75">
      <c r="A46" s="43">
        <v>46</v>
      </c>
      <c r="B46" s="23" t="s">
        <v>297</v>
      </c>
      <c r="C46" s="271" t="s">
        <v>302</v>
      </c>
      <c r="D46" s="271" t="s">
        <v>302</v>
      </c>
      <c r="E46" s="271" t="s">
        <v>302</v>
      </c>
      <c r="F46" s="271" t="s">
        <v>302</v>
      </c>
      <c r="G46" s="272" t="s">
        <v>302</v>
      </c>
      <c r="J46" s="7" t="s">
        <v>7</v>
      </c>
    </row>
    <row r="47" spans="1:10" ht="12.75">
      <c r="A47" s="38">
        <v>47</v>
      </c>
      <c r="B47" s="62" t="s">
        <v>251</v>
      </c>
      <c r="C47" s="265"/>
      <c r="D47" s="265"/>
      <c r="E47" s="265"/>
      <c r="F47" s="265"/>
      <c r="G47" s="266"/>
      <c r="J47" s="18" t="s">
        <v>8</v>
      </c>
    </row>
    <row r="48" spans="1:10" ht="12.75">
      <c r="A48" s="43">
        <v>48</v>
      </c>
      <c r="B48" s="23" t="s">
        <v>304</v>
      </c>
      <c r="C48" s="271" t="s">
        <v>2</v>
      </c>
      <c r="D48" s="271" t="s">
        <v>2</v>
      </c>
      <c r="E48" s="271" t="s">
        <v>2</v>
      </c>
      <c r="F48" s="271" t="s">
        <v>2</v>
      </c>
      <c r="G48" s="272" t="s">
        <v>2</v>
      </c>
      <c r="J48" s="7" t="s">
        <v>7</v>
      </c>
    </row>
    <row r="49" spans="1:10" ht="12.75">
      <c r="A49" s="38">
        <v>49</v>
      </c>
      <c r="B49" s="62" t="s">
        <v>47</v>
      </c>
      <c r="C49" s="275" t="s">
        <v>300</v>
      </c>
      <c r="D49" s="275" t="s">
        <v>300</v>
      </c>
      <c r="E49" s="275" t="s">
        <v>300</v>
      </c>
      <c r="F49" s="275" t="s">
        <v>300</v>
      </c>
      <c r="G49" s="276" t="s">
        <v>300</v>
      </c>
      <c r="J49" s="18" t="s">
        <v>8</v>
      </c>
    </row>
    <row r="50" spans="1:10" ht="12.75">
      <c r="A50" s="43">
        <v>50</v>
      </c>
      <c r="B50" s="23" t="s">
        <v>48</v>
      </c>
      <c r="C50" s="271" t="s">
        <v>2</v>
      </c>
      <c r="D50" s="271" t="s">
        <v>2</v>
      </c>
      <c r="E50" s="271" t="s">
        <v>2</v>
      </c>
      <c r="F50" s="271" t="s">
        <v>2</v>
      </c>
      <c r="G50" s="272" t="s">
        <v>2</v>
      </c>
      <c r="J50" s="7" t="s">
        <v>8</v>
      </c>
    </row>
    <row r="51" spans="1:10" ht="12.75">
      <c r="A51" s="38">
        <v>51</v>
      </c>
      <c r="B51" s="63" t="s">
        <v>49</v>
      </c>
      <c r="C51" s="275" t="s">
        <v>300</v>
      </c>
      <c r="D51" s="275" t="s">
        <v>300</v>
      </c>
      <c r="E51" s="275" t="s">
        <v>300</v>
      </c>
      <c r="F51" s="275" t="s">
        <v>300</v>
      </c>
      <c r="G51" s="276" t="s">
        <v>300</v>
      </c>
      <c r="J51" s="18" t="s">
        <v>8</v>
      </c>
    </row>
    <row r="52" spans="1:10" ht="12.75">
      <c r="A52" s="43">
        <v>52</v>
      </c>
      <c r="B52" s="23" t="s">
        <v>50</v>
      </c>
      <c r="C52" s="271" t="s">
        <v>300</v>
      </c>
      <c r="D52" s="271" t="s">
        <v>300</v>
      </c>
      <c r="E52" s="271" t="s">
        <v>300</v>
      </c>
      <c r="F52" s="271" t="s">
        <v>300</v>
      </c>
      <c r="G52" s="272" t="s">
        <v>300</v>
      </c>
      <c r="J52" s="7" t="s">
        <v>8</v>
      </c>
    </row>
    <row r="53" spans="1:10" ht="12.75">
      <c r="A53" s="38">
        <v>53</v>
      </c>
      <c r="B53" s="62" t="s">
        <v>51</v>
      </c>
      <c r="C53" s="275" t="s">
        <v>300</v>
      </c>
      <c r="D53" s="275" t="s">
        <v>300</v>
      </c>
      <c r="E53" s="275" t="s">
        <v>300</v>
      </c>
      <c r="F53" s="275" t="s">
        <v>300</v>
      </c>
      <c r="G53" s="276" t="s">
        <v>300</v>
      </c>
      <c r="J53" s="18" t="s">
        <v>8</v>
      </c>
    </row>
    <row r="54" spans="1:10" ht="12.75">
      <c r="A54" s="43">
        <v>54</v>
      </c>
      <c r="B54" s="23" t="s">
        <v>52</v>
      </c>
      <c r="C54" s="271" t="s">
        <v>300</v>
      </c>
      <c r="D54" s="271" t="s">
        <v>300</v>
      </c>
      <c r="E54" s="271" t="s">
        <v>300</v>
      </c>
      <c r="F54" s="271" t="s">
        <v>300</v>
      </c>
      <c r="G54" s="272" t="s">
        <v>300</v>
      </c>
      <c r="J54" s="7" t="s">
        <v>8</v>
      </c>
    </row>
    <row r="55" spans="1:10" ht="12.75">
      <c r="A55" s="38">
        <v>55</v>
      </c>
      <c r="B55" s="62" t="s">
        <v>53</v>
      </c>
      <c r="C55" s="275" t="s">
        <v>300</v>
      </c>
      <c r="D55" s="275" t="s">
        <v>300</v>
      </c>
      <c r="E55" s="275" t="s">
        <v>300</v>
      </c>
      <c r="F55" s="275" t="s">
        <v>300</v>
      </c>
      <c r="G55" s="276" t="s">
        <v>300</v>
      </c>
      <c r="J55" s="18" t="s">
        <v>16</v>
      </c>
    </row>
    <row r="56" spans="1:10" ht="12.75">
      <c r="A56" s="43">
        <v>56</v>
      </c>
      <c r="B56" s="23" t="s">
        <v>265</v>
      </c>
      <c r="C56" s="271" t="s">
        <v>300</v>
      </c>
      <c r="D56" s="271" t="s">
        <v>300</v>
      </c>
      <c r="E56" s="271" t="s">
        <v>300</v>
      </c>
      <c r="F56" s="271" t="s">
        <v>300</v>
      </c>
      <c r="G56" s="272" t="s">
        <v>300</v>
      </c>
      <c r="J56" s="7" t="s">
        <v>8</v>
      </c>
    </row>
    <row r="57" spans="1:10" ht="12.75">
      <c r="A57" s="38">
        <v>57</v>
      </c>
      <c r="B57" s="62" t="s">
        <v>54</v>
      </c>
      <c r="C57" s="285" t="s">
        <v>301</v>
      </c>
      <c r="D57" s="285" t="s">
        <v>301</v>
      </c>
      <c r="E57" s="285" t="s">
        <v>301</v>
      </c>
      <c r="F57" s="285" t="s">
        <v>301</v>
      </c>
      <c r="G57" s="286" t="s">
        <v>301</v>
      </c>
      <c r="J57" s="18" t="s">
        <v>16</v>
      </c>
    </row>
    <row r="58" spans="1:10" ht="12.75">
      <c r="A58" s="170">
        <v>58</v>
      </c>
      <c r="B58" s="171" t="s">
        <v>64</v>
      </c>
      <c r="C58" s="287" t="s">
        <v>11</v>
      </c>
      <c r="D58" s="287" t="s">
        <v>11</v>
      </c>
      <c r="E58" s="287" t="s">
        <v>11</v>
      </c>
      <c r="F58" s="287" t="s">
        <v>11</v>
      </c>
      <c r="G58" s="288" t="s">
        <v>11</v>
      </c>
      <c r="J58" s="7" t="s">
        <v>8</v>
      </c>
    </row>
    <row r="59" spans="1:10" ht="12.75">
      <c r="A59" s="38">
        <v>59</v>
      </c>
      <c r="B59" s="63" t="s">
        <v>65</v>
      </c>
      <c r="C59" s="269" t="s">
        <v>11</v>
      </c>
      <c r="D59" s="269" t="s">
        <v>11</v>
      </c>
      <c r="E59" s="269" t="s">
        <v>11</v>
      </c>
      <c r="F59" s="269" t="s">
        <v>11</v>
      </c>
      <c r="G59" s="270" t="s">
        <v>11</v>
      </c>
      <c r="J59" s="18" t="s">
        <v>8</v>
      </c>
    </row>
    <row r="60" spans="1:10" ht="12.75">
      <c r="A60" s="43">
        <v>60</v>
      </c>
      <c r="B60" s="22" t="s">
        <v>66</v>
      </c>
      <c r="C60" s="279" t="s">
        <v>11</v>
      </c>
      <c r="D60" s="279" t="s">
        <v>11</v>
      </c>
      <c r="E60" s="279" t="s">
        <v>11</v>
      </c>
      <c r="F60" s="279" t="s">
        <v>11</v>
      </c>
      <c r="G60" s="280" t="s">
        <v>11</v>
      </c>
      <c r="J60" s="7" t="s">
        <v>8</v>
      </c>
    </row>
    <row r="61" spans="1:10" ht="12.75">
      <c r="A61" s="38">
        <v>61</v>
      </c>
      <c r="B61" s="62" t="s">
        <v>67</v>
      </c>
      <c r="C61" s="265" t="s">
        <v>11</v>
      </c>
      <c r="D61" s="265" t="s">
        <v>11</v>
      </c>
      <c r="E61" s="265" t="s">
        <v>11</v>
      </c>
      <c r="F61" s="265" t="s">
        <v>11</v>
      </c>
      <c r="G61" s="266" t="s">
        <v>11</v>
      </c>
      <c r="J61" s="18" t="s">
        <v>8</v>
      </c>
    </row>
    <row r="62" spans="1:10" ht="12.75">
      <c r="A62" s="43">
        <v>62</v>
      </c>
      <c r="B62" s="68" t="s">
        <v>68</v>
      </c>
      <c r="C62" s="267" t="s">
        <v>11</v>
      </c>
      <c r="D62" s="267" t="s">
        <v>11</v>
      </c>
      <c r="E62" s="267" t="s">
        <v>11</v>
      </c>
      <c r="F62" s="267" t="s">
        <v>11</v>
      </c>
      <c r="G62" s="268" t="s">
        <v>11</v>
      </c>
      <c r="J62" s="7" t="s">
        <v>8</v>
      </c>
    </row>
    <row r="63" spans="1:10" ht="12.75">
      <c r="A63" s="66">
        <v>63</v>
      </c>
      <c r="B63" s="441" t="s">
        <v>69</v>
      </c>
      <c r="C63" s="289" t="s">
        <v>11</v>
      </c>
      <c r="D63" s="289" t="s">
        <v>11</v>
      </c>
      <c r="E63" s="289" t="s">
        <v>11</v>
      </c>
      <c r="F63" s="289" t="s">
        <v>11</v>
      </c>
      <c r="G63" s="290" t="s">
        <v>11</v>
      </c>
      <c r="J63" s="18" t="s">
        <v>7</v>
      </c>
    </row>
    <row r="64" spans="1:10" ht="12.75">
      <c r="A64" s="43">
        <v>64</v>
      </c>
      <c r="B64" s="68" t="s">
        <v>55</v>
      </c>
      <c r="C64" s="267" t="s">
        <v>2</v>
      </c>
      <c r="D64" s="267" t="s">
        <v>2</v>
      </c>
      <c r="E64" s="267" t="s">
        <v>2</v>
      </c>
      <c r="F64" s="267" t="s">
        <v>2</v>
      </c>
      <c r="G64" s="268" t="s">
        <v>2</v>
      </c>
      <c r="J64" s="18" t="s">
        <v>8</v>
      </c>
    </row>
    <row r="65" spans="1:10" ht="12.75">
      <c r="A65" s="38">
        <v>65</v>
      </c>
      <c r="B65" s="63" t="s">
        <v>56</v>
      </c>
      <c r="C65" s="269" t="s">
        <v>298</v>
      </c>
      <c r="D65" s="269" t="s">
        <v>298</v>
      </c>
      <c r="E65" s="269" t="s">
        <v>298</v>
      </c>
      <c r="F65" s="269" t="s">
        <v>298</v>
      </c>
      <c r="G65" s="270" t="s">
        <v>305</v>
      </c>
      <c r="J65" s="7" t="s">
        <v>8</v>
      </c>
    </row>
    <row r="66" spans="1:10" ht="12.75">
      <c r="A66" s="43" t="s">
        <v>252</v>
      </c>
      <c r="B66" s="299" t="s">
        <v>279</v>
      </c>
      <c r="C66" s="291" t="s">
        <v>60</v>
      </c>
      <c r="D66" s="291" t="s">
        <v>60</v>
      </c>
      <c r="E66" s="291" t="s">
        <v>60</v>
      </c>
      <c r="F66" s="291" t="s">
        <v>60</v>
      </c>
      <c r="G66" s="292" t="s">
        <v>60</v>
      </c>
      <c r="J66" s="18" t="s">
        <v>8</v>
      </c>
    </row>
    <row r="67" spans="1:10" ht="12.75">
      <c r="A67" s="38" t="s">
        <v>246</v>
      </c>
      <c r="B67" s="62" t="s">
        <v>253</v>
      </c>
      <c r="C67" s="265" t="s">
        <v>60</v>
      </c>
      <c r="D67" s="265" t="s">
        <v>60</v>
      </c>
      <c r="E67" s="265" t="s">
        <v>60</v>
      </c>
      <c r="F67" s="265" t="s">
        <v>60</v>
      </c>
      <c r="G67" s="266" t="s">
        <v>60</v>
      </c>
      <c r="J67" s="7" t="s">
        <v>8</v>
      </c>
    </row>
    <row r="68" spans="1:10" ht="12.75">
      <c r="A68" s="43" t="s">
        <v>247</v>
      </c>
      <c r="B68" s="68" t="s">
        <v>254</v>
      </c>
      <c r="C68" s="293" t="s">
        <v>60</v>
      </c>
      <c r="D68" s="293" t="s">
        <v>60</v>
      </c>
      <c r="E68" s="293" t="s">
        <v>60</v>
      </c>
      <c r="F68" s="293" t="s">
        <v>60</v>
      </c>
      <c r="G68" s="294" t="s">
        <v>60</v>
      </c>
      <c r="J68" s="18" t="s">
        <v>22</v>
      </c>
    </row>
    <row r="69" spans="1:10" ht="12.75">
      <c r="A69" s="38">
        <v>67</v>
      </c>
      <c r="B69" s="62" t="s">
        <v>278</v>
      </c>
      <c r="C69" s="281" t="s">
        <v>61</v>
      </c>
      <c r="D69" s="281" t="s">
        <v>61</v>
      </c>
      <c r="E69" s="281" t="s">
        <v>61</v>
      </c>
      <c r="F69" s="281" t="s">
        <v>61</v>
      </c>
      <c r="G69" s="282" t="s">
        <v>61</v>
      </c>
      <c r="J69" s="7"/>
    </row>
    <row r="70" spans="1:10" ht="12.75">
      <c r="A70" s="43">
        <v>68</v>
      </c>
      <c r="B70" s="68" t="s">
        <v>255</v>
      </c>
      <c r="C70" s="267" t="s">
        <v>300</v>
      </c>
      <c r="D70" s="267" t="s">
        <v>300</v>
      </c>
      <c r="E70" s="267" t="s">
        <v>300</v>
      </c>
      <c r="F70" s="267" t="s">
        <v>300</v>
      </c>
      <c r="G70" s="268" t="s">
        <v>300</v>
      </c>
      <c r="J70" s="18"/>
    </row>
    <row r="71" spans="1:10" ht="27" customHeight="1">
      <c r="A71" s="38">
        <v>69</v>
      </c>
      <c r="B71" s="230" t="s">
        <v>59</v>
      </c>
      <c r="C71" s="258" t="s">
        <v>186</v>
      </c>
      <c r="D71" s="258" t="s">
        <v>186</v>
      </c>
      <c r="E71" s="258" t="s">
        <v>186</v>
      </c>
      <c r="F71" s="258" t="s">
        <v>186</v>
      </c>
      <c r="G71" s="259" t="s">
        <v>186</v>
      </c>
      <c r="J71" s="7"/>
    </row>
    <row r="72" spans="1:10" ht="13.5" customHeight="1">
      <c r="A72" s="43">
        <v>70</v>
      </c>
      <c r="B72" s="68" t="s">
        <v>256</v>
      </c>
      <c r="C72" s="267" t="s">
        <v>17</v>
      </c>
      <c r="D72" s="267" t="s">
        <v>17</v>
      </c>
      <c r="E72" s="267" t="s">
        <v>17</v>
      </c>
      <c r="F72" s="267" t="s">
        <v>17</v>
      </c>
      <c r="G72" s="268" t="s">
        <v>17</v>
      </c>
      <c r="J72" s="18" t="s">
        <v>13</v>
      </c>
    </row>
    <row r="73" spans="1:10" ht="13.5" customHeight="1">
      <c r="A73" s="38">
        <v>71</v>
      </c>
      <c r="B73" s="231" t="s">
        <v>58</v>
      </c>
      <c r="C73" s="265" t="s">
        <v>299</v>
      </c>
      <c r="D73" s="265" t="s">
        <v>299</v>
      </c>
      <c r="E73" s="265" t="s">
        <v>299</v>
      </c>
      <c r="F73" s="265" t="s">
        <v>299</v>
      </c>
      <c r="G73" s="266" t="s">
        <v>299</v>
      </c>
      <c r="J73" s="7"/>
    </row>
    <row r="74" spans="1:10" ht="13.5" customHeight="1" thickBot="1">
      <c r="A74" s="69">
        <v>72</v>
      </c>
      <c r="B74" s="232" t="s">
        <v>57</v>
      </c>
      <c r="C74" s="308" t="s">
        <v>300</v>
      </c>
      <c r="D74" s="308" t="s">
        <v>300</v>
      </c>
      <c r="E74" s="308" t="s">
        <v>300</v>
      </c>
      <c r="F74" s="308" t="s">
        <v>300</v>
      </c>
      <c r="G74" s="311" t="s">
        <v>300</v>
      </c>
      <c r="J74" s="7"/>
    </row>
    <row r="75" ht="12.75">
      <c r="J75" s="18" t="s">
        <v>13</v>
      </c>
    </row>
    <row r="76" spans="1:8" ht="12.75">
      <c r="A76"/>
      <c r="B76" s="4"/>
      <c r="C76" s="2"/>
      <c r="D76" s="2"/>
      <c r="E76" s="3"/>
      <c r="F76" s="2"/>
      <c r="G76" s="3"/>
      <c r="H76" s="2"/>
    </row>
    <row r="77" ht="12.75">
      <c r="A77"/>
    </row>
    <row r="78" ht="12.75">
      <c r="A78"/>
    </row>
    <row r="79" ht="12.75">
      <c r="A79"/>
    </row>
    <row r="80" spans="1:10" ht="12.75">
      <c r="A80"/>
      <c r="I80" s="3"/>
      <c r="J80" s="3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5" customHeight="1">
      <c r="A88"/>
    </row>
    <row r="89" ht="12.75">
      <c r="A89"/>
    </row>
    <row r="90" ht="12.75">
      <c r="A90"/>
    </row>
    <row r="91" spans="1:8" ht="12.75">
      <c r="A91"/>
      <c r="C91" s="2"/>
      <c r="D91" s="3"/>
      <c r="E91" s="2"/>
      <c r="F91" s="3"/>
      <c r="G91" s="2"/>
      <c r="H91" s="3"/>
    </row>
    <row r="92" spans="1:8" ht="12.75">
      <c r="A92"/>
      <c r="C92" s="2"/>
      <c r="D92" s="3"/>
      <c r="E92" s="2"/>
      <c r="F92" s="3"/>
      <c r="G92" s="2"/>
      <c r="H92" s="3"/>
    </row>
    <row r="93" spans="1:8" ht="12.75">
      <c r="A93"/>
      <c r="C93" s="2"/>
      <c r="D93" s="3"/>
      <c r="E93" s="2"/>
      <c r="F93" s="3"/>
      <c r="G93" s="2"/>
      <c r="H93" s="3"/>
    </row>
    <row r="94" spans="1:8" ht="12.75">
      <c r="A94"/>
      <c r="C94" s="2"/>
      <c r="D94" s="3"/>
      <c r="E94" s="2"/>
      <c r="F94" s="3"/>
      <c r="G94" s="2"/>
      <c r="H94" s="3"/>
    </row>
    <row r="95" spans="1:10" ht="12.75">
      <c r="A95"/>
      <c r="C95" s="2"/>
      <c r="D95" s="3"/>
      <c r="E95" s="2"/>
      <c r="F95" s="3"/>
      <c r="G95" s="2"/>
      <c r="H95" s="3"/>
      <c r="I95" s="2"/>
      <c r="J95" s="3"/>
    </row>
    <row r="96" spans="1:10" ht="12.75">
      <c r="A96"/>
      <c r="I96" s="2"/>
      <c r="J96" s="3"/>
    </row>
    <row r="97" spans="1:10" ht="12.75">
      <c r="A97"/>
      <c r="I97" s="2"/>
      <c r="J97" s="3"/>
    </row>
    <row r="98" spans="1:10" ht="12.75">
      <c r="A98"/>
      <c r="I98" s="2"/>
      <c r="J98" s="3"/>
    </row>
    <row r="99" spans="1:10" ht="12.75">
      <c r="A99"/>
      <c r="I99" s="2"/>
      <c r="J99" s="3"/>
    </row>
    <row r="100" spans="1:10" ht="12.75">
      <c r="A100"/>
      <c r="J100" s="3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</sheetData>
  <sheetProtection/>
  <printOptions horizontalCentered="1"/>
  <pageMargins left="0.25" right="0.25" top="0.61" bottom="0.5" header="0.25" footer="0.25"/>
  <pageSetup horizontalDpi="600" verticalDpi="600" orientation="portrait" scale="68" r:id="rId1"/>
  <headerFooter alignWithMargins="0">
    <oddHeader>&amp;C&amp;"Arial,Bold"MNRAM 3.2 Wetland Assessment Data Form Page 2
&amp;"Arial,Italic"Italic questions are answered via GIS analyses or other methods in-office</oddHeader>
    <oddFooter>&amp;L&amp;F&amp;C&amp;"Arial,Italic"Function, Value, Restoration&amp;R&amp;D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1"/>
  <sheetViews>
    <sheetView zoomScale="75" zoomScaleNormal="75" zoomScalePageLayoutView="0" workbookViewId="0" topLeftCell="A1">
      <selection activeCell="D83" sqref="D83"/>
    </sheetView>
  </sheetViews>
  <sheetFormatPr defaultColWidth="9.140625" defaultRowHeight="12.75"/>
  <cols>
    <col min="1" max="1" width="5.8515625" style="126" customWidth="1"/>
    <col min="2" max="2" width="3.57421875" style="126" customWidth="1"/>
    <col min="3" max="3" width="39.8515625" style="126" customWidth="1"/>
    <col min="4" max="4" width="6.8515625" style="126" customWidth="1"/>
    <col min="5" max="5" width="9.00390625" style="132" customWidth="1"/>
    <col min="6" max="6" width="6.28125" style="126" customWidth="1"/>
    <col min="7" max="7" width="5.28125" style="126" customWidth="1"/>
    <col min="8" max="8" width="6.8515625" style="126" customWidth="1"/>
    <col min="9" max="9" width="5.140625" style="126" customWidth="1"/>
    <col min="10" max="10" width="5.421875" style="126" customWidth="1"/>
    <col min="11" max="11" width="5.00390625" style="126" customWidth="1"/>
    <col min="12" max="13" width="5.421875" style="126" customWidth="1"/>
    <col min="14" max="14" width="6.00390625" style="126" customWidth="1"/>
    <col min="15" max="15" width="4.57421875" style="126" hidden="1" customWidth="1"/>
    <col min="16" max="16" width="5.57421875" style="126" customWidth="1"/>
    <col min="17" max="17" width="5.28125" style="126" customWidth="1"/>
    <col min="18" max="18" width="4.57421875" style="126" customWidth="1"/>
    <col min="19" max="19" width="3.8515625" style="126" customWidth="1"/>
    <col min="20" max="20" width="8.57421875" style="126" customWidth="1"/>
    <col min="21" max="21" width="5.28125" style="126" customWidth="1"/>
    <col min="22" max="22" width="9.421875" style="126" customWidth="1"/>
    <col min="23" max="23" width="4.7109375" style="126" customWidth="1"/>
    <col min="24" max="24" width="6.421875" style="126" customWidth="1"/>
    <col min="25" max="25" width="9.140625" style="126" customWidth="1"/>
    <col min="26" max="26" width="6.8515625" style="126" customWidth="1"/>
    <col min="27" max="27" width="5.28125" style="126" customWidth="1"/>
    <col min="28" max="28" width="5.00390625" style="126" customWidth="1"/>
    <col min="29" max="29" width="5.140625" style="126" customWidth="1"/>
    <col min="30" max="16384" width="9.140625" style="126" customWidth="1"/>
  </cols>
  <sheetData>
    <row r="1" ht="22.5">
      <c r="C1" s="402" t="s">
        <v>395</v>
      </c>
    </row>
    <row r="3" spans="2:25" ht="13.5" customHeight="1">
      <c r="B3" s="124"/>
      <c r="C3" s="195" t="s">
        <v>1</v>
      </c>
      <c r="D3" s="521" t="s">
        <v>333</v>
      </c>
      <c r="E3" s="195" t="s">
        <v>4</v>
      </c>
      <c r="G3" s="124"/>
      <c r="I3" s="127"/>
      <c r="Q3"/>
      <c r="R3"/>
      <c r="S3"/>
      <c r="T3"/>
      <c r="U3"/>
      <c r="V3"/>
      <c r="W3"/>
      <c r="X3"/>
      <c r="Y3"/>
    </row>
    <row r="4" spans="2:29" ht="12.75" customHeight="1" thickBot="1">
      <c r="B4" s="124"/>
      <c r="C4" s="330"/>
      <c r="D4" s="522"/>
      <c r="E4" s="331"/>
      <c r="G4" s="124"/>
      <c r="I4" s="127"/>
      <c r="N4" s="126" t="s">
        <v>387</v>
      </c>
      <c r="Q4"/>
      <c r="R4"/>
      <c r="S4" s="519" t="s">
        <v>338</v>
      </c>
      <c r="T4" s="520"/>
      <c r="U4" s="520"/>
      <c r="V4" s="520"/>
      <c r="W4" s="520"/>
      <c r="X4" s="520"/>
      <c r="Y4" s="520"/>
      <c r="Z4"/>
      <c r="AA4"/>
      <c r="AB4"/>
      <c r="AC4"/>
    </row>
    <row r="5" spans="2:29" ht="12.75">
      <c r="B5" s="124">
        <v>1</v>
      </c>
      <c r="C5" s="129" t="s">
        <v>141</v>
      </c>
      <c r="D5" s="125"/>
      <c r="E5" s="167">
        <f>'FieldForm-Side1'!D63</f>
        <v>0</v>
      </c>
      <c r="F5" s="124"/>
      <c r="G5" s="124"/>
      <c r="H5" s="127"/>
      <c r="I5" s="127"/>
      <c r="N5" s="126">
        <f>'FieldForm-Side1'!D61</f>
        <v>0</v>
      </c>
      <c r="Q5"/>
      <c r="R5"/>
      <c r="S5" s="520"/>
      <c r="T5" s="520"/>
      <c r="U5" s="520"/>
      <c r="V5" s="520"/>
      <c r="W5" s="520"/>
      <c r="X5" s="520"/>
      <c r="Y5" s="520"/>
      <c r="Z5"/>
      <c r="AA5"/>
      <c r="AB5"/>
      <c r="AC5"/>
    </row>
    <row r="6" spans="2:29" ht="12.75">
      <c r="B6" s="124"/>
      <c r="C6" s="131" t="s">
        <v>142</v>
      </c>
      <c r="D6" s="432">
        <f>IF('FieldForm-Side1'!D6="b","2",IF('FieldForm-Side1'!D6="i","2",IF(D7="Y","2",IF(D8="Y","2",IF(D9="y","2",IF(E5&gt;1,"2",E5))))))</f>
        <v>0</v>
      </c>
      <c r="E6" s="132" t="str">
        <f>IF(D6&gt;1,"Exceptional",IF(D6&gt;0.65,"High",IF(D6&gt;0.32,"Medium",IF(D6&gt;0,"L","Fill in side 1"))))</f>
        <v>Fill in side 1</v>
      </c>
      <c r="F6" s="124"/>
      <c r="G6" s="124"/>
      <c r="H6" s="127"/>
      <c r="I6" s="127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5" customHeight="1">
      <c r="A7" s="518" t="s">
        <v>352</v>
      </c>
      <c r="B7" s="124">
        <v>4</v>
      </c>
      <c r="C7" s="430" t="s">
        <v>266</v>
      </c>
      <c r="D7" s="433" t="str">
        <f>'FieldForm-Side1'!D64</f>
        <v>n</v>
      </c>
      <c r="E7" s="125" t="str">
        <f>IF(D7="Y","Veg Exceptional",IF(D7="N","next","Enter Y or N"))</f>
        <v>next</v>
      </c>
      <c r="F7" s="124"/>
      <c r="G7" s="124"/>
      <c r="H7" s="127"/>
      <c r="I7" s="127"/>
      <c r="M7" s="152"/>
      <c r="N7" s="152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518"/>
      <c r="B8" s="124">
        <v>5</v>
      </c>
      <c r="C8" s="431" t="s">
        <v>267</v>
      </c>
      <c r="D8" s="433" t="str">
        <f>'FieldForm-Side1'!D65</f>
        <v>n</v>
      </c>
      <c r="E8" s="125" t="str">
        <f>IF(D8="Y","Veg Exceptional",IF(D8="N","next","Enter Y or N"))</f>
        <v>next</v>
      </c>
      <c r="F8" s="124"/>
      <c r="G8" s="124"/>
      <c r="H8" s="127"/>
      <c r="I8" s="127"/>
      <c r="N8" s="152"/>
      <c r="Q8"/>
      <c r="R8"/>
      <c r="S8"/>
      <c r="T8" s="529" t="s">
        <v>185</v>
      </c>
      <c r="U8" s="530"/>
      <c r="V8" s="530"/>
      <c r="W8" s="530"/>
      <c r="X8" s="82"/>
      <c r="Y8"/>
      <c r="Z8"/>
      <c r="AA8"/>
      <c r="AB8"/>
      <c r="AC8"/>
    </row>
    <row r="9" spans="1:29" ht="14.25" customHeight="1">
      <c r="A9" s="518"/>
      <c r="B9" s="124">
        <v>6</v>
      </c>
      <c r="C9" s="430" t="s">
        <v>260</v>
      </c>
      <c r="D9" s="433" t="str">
        <f>'FieldForm-Side1'!D66</f>
        <v>n</v>
      </c>
      <c r="E9" s="125" t="str">
        <f>IF(D9="Y","Veg Exceptional",IF(D9="N","next","Enter Y or N"))</f>
        <v>next</v>
      </c>
      <c r="F9" s="124"/>
      <c r="G9" s="124"/>
      <c r="H9" s="127"/>
      <c r="I9" s="127"/>
      <c r="N9" s="152"/>
      <c r="Q9"/>
      <c r="R9"/>
      <c r="S9"/>
      <c r="T9" s="531"/>
      <c r="U9" s="532"/>
      <c r="V9" s="532"/>
      <c r="W9" s="532"/>
      <c r="X9" s="84"/>
      <c r="Y9"/>
      <c r="Z9"/>
      <c r="AA9"/>
      <c r="AB9"/>
      <c r="AC9"/>
    </row>
    <row r="10" spans="1:29" ht="16.5" customHeight="1">
      <c r="A10" s="518"/>
      <c r="B10" s="134">
        <v>7</v>
      </c>
      <c r="C10" s="135" t="s">
        <v>144</v>
      </c>
      <c r="D10" s="136"/>
      <c r="E10" s="168" t="e">
        <f>VLOOKUP(D10,T10:U18,2,FALSE)</f>
        <v>#N/A</v>
      </c>
      <c r="F10" s="124"/>
      <c r="G10" s="124"/>
      <c r="H10" s="124"/>
      <c r="I10" s="127"/>
      <c r="Q10"/>
      <c r="R10"/>
      <c r="S10"/>
      <c r="T10" s="215" t="s">
        <v>174</v>
      </c>
      <c r="U10" s="216" t="s">
        <v>165</v>
      </c>
      <c r="V10" s="358"/>
      <c r="W10" s="358"/>
      <c r="X10" s="84"/>
      <c r="Y10"/>
      <c r="Z10"/>
      <c r="AA10"/>
      <c r="AB10"/>
      <c r="AC10"/>
    </row>
    <row r="11" spans="1:29" ht="12.75">
      <c r="A11" s="518"/>
      <c r="B11" s="134">
        <v>8</v>
      </c>
      <c r="C11" s="135" t="s">
        <v>162</v>
      </c>
      <c r="D11" s="136"/>
      <c r="E11" s="137"/>
      <c r="F11" s="124"/>
      <c r="G11" s="124"/>
      <c r="H11"/>
      <c r="I11"/>
      <c r="Q11"/>
      <c r="R11"/>
      <c r="S11"/>
      <c r="T11" s="217" t="s">
        <v>175</v>
      </c>
      <c r="U11" s="218" t="s">
        <v>166</v>
      </c>
      <c r="V11" s="358"/>
      <c r="W11" s="358"/>
      <c r="X11" s="84"/>
      <c r="Y11"/>
      <c r="Z11"/>
      <c r="AA11"/>
      <c r="AB11"/>
      <c r="AC11"/>
    </row>
    <row r="12" spans="1:29" ht="12.75">
      <c r="A12" s="518"/>
      <c r="B12" s="134"/>
      <c r="C12" s="135" t="s">
        <v>163</v>
      </c>
      <c r="D12" s="169"/>
      <c r="E12" s="137"/>
      <c r="F12" s="124"/>
      <c r="G12" s="124"/>
      <c r="H12"/>
      <c r="I12"/>
      <c r="Q12"/>
      <c r="R12"/>
      <c r="S12"/>
      <c r="T12" s="217" t="s">
        <v>176</v>
      </c>
      <c r="U12" s="218" t="s">
        <v>167</v>
      </c>
      <c r="V12" s="358"/>
      <c r="W12" s="358"/>
      <c r="X12" s="84"/>
      <c r="Y12"/>
      <c r="Z12"/>
      <c r="AA12"/>
      <c r="AB12"/>
      <c r="AC12"/>
    </row>
    <row r="13" spans="1:29" ht="12.75">
      <c r="A13" s="518"/>
      <c r="B13" s="434">
        <v>9</v>
      </c>
      <c r="C13" s="135" t="s">
        <v>273</v>
      </c>
      <c r="D13" s="136"/>
      <c r="E13" s="137"/>
      <c r="F13" s="124"/>
      <c r="G13" s="124"/>
      <c r="H13"/>
      <c r="I13"/>
      <c r="Q13"/>
      <c r="R13"/>
      <c r="S13"/>
      <c r="T13" s="217" t="s">
        <v>177</v>
      </c>
      <c r="U13" s="219" t="s">
        <v>168</v>
      </c>
      <c r="V13" s="358"/>
      <c r="W13" s="358"/>
      <c r="X13" s="84"/>
      <c r="Y13"/>
      <c r="Z13"/>
      <c r="AA13"/>
      <c r="AB13"/>
      <c r="AC13"/>
    </row>
    <row r="14" spans="1:29" ht="12.75">
      <c r="A14" s="518"/>
      <c r="B14" s="434">
        <v>10</v>
      </c>
      <c r="C14" s="405" t="s">
        <v>274</v>
      </c>
      <c r="D14" s="133"/>
      <c r="E14" s="137"/>
      <c r="F14" s="124"/>
      <c r="G14" s="124"/>
      <c r="H14"/>
      <c r="I14"/>
      <c r="Q14"/>
      <c r="R14"/>
      <c r="S14"/>
      <c r="T14" s="217" t="s">
        <v>178</v>
      </c>
      <c r="U14" s="219" t="s">
        <v>169</v>
      </c>
      <c r="V14" s="358"/>
      <c r="W14" s="358"/>
      <c r="X14" s="84"/>
      <c r="Y14"/>
      <c r="Z14"/>
      <c r="AA14"/>
      <c r="AB14"/>
      <c r="AC14"/>
    </row>
    <row r="15" spans="1:29" ht="14.25" customHeight="1">
      <c r="A15" s="518"/>
      <c r="B15" s="434">
        <v>11</v>
      </c>
      <c r="C15" s="196" t="s">
        <v>164</v>
      </c>
      <c r="D15" s="136"/>
      <c r="E15" s="137"/>
      <c r="F15" s="124"/>
      <c r="G15" s="124"/>
      <c r="H15"/>
      <c r="I15"/>
      <c r="Q15"/>
      <c r="R15"/>
      <c r="S15"/>
      <c r="T15" s="217" t="s">
        <v>179</v>
      </c>
      <c r="U15" s="219" t="s">
        <v>170</v>
      </c>
      <c r="V15" s="358"/>
      <c r="W15" s="358"/>
      <c r="X15" s="84"/>
      <c r="Y15"/>
      <c r="Z15"/>
      <c r="AA15"/>
      <c r="AB15"/>
      <c r="AC15"/>
    </row>
    <row r="16" spans="1:29" ht="12.75">
      <c r="A16" s="518"/>
      <c r="B16" s="172">
        <v>12</v>
      </c>
      <c r="C16" s="197" t="s">
        <v>31</v>
      </c>
      <c r="D16" s="133"/>
      <c r="E16" s="125" t="str">
        <f>IF(D16="E","Invalid entry",IF(D16="A",1,IF(D16="B",0.5,IF(D16="C",0.1,IF(D16="N/A","N/A","Enter valid choice")))))</f>
        <v>Enter valid choice</v>
      </c>
      <c r="F16" s="124"/>
      <c r="G16" s="124"/>
      <c r="H16"/>
      <c r="I16"/>
      <c r="Q16"/>
      <c r="R16"/>
      <c r="S16"/>
      <c r="T16" s="217" t="s">
        <v>180</v>
      </c>
      <c r="U16" s="219" t="s">
        <v>171</v>
      </c>
      <c r="V16" s="358"/>
      <c r="W16" s="358"/>
      <c r="X16" s="84"/>
      <c r="Y16"/>
      <c r="Z16"/>
      <c r="AA16"/>
      <c r="AB16"/>
      <c r="AC16"/>
    </row>
    <row r="17" spans="1:29" ht="12.75">
      <c r="A17" s="518"/>
      <c r="B17" s="124">
        <v>13</v>
      </c>
      <c r="C17" s="129" t="s">
        <v>32</v>
      </c>
      <c r="D17" s="133"/>
      <c r="E17" s="125" t="str">
        <f>IF(D17="A",1,IF(D17="B",0.5,IF(D17="C",0.1,"Enter valid choice")))</f>
        <v>Enter valid choice</v>
      </c>
      <c r="F17" s="124"/>
      <c r="G17" s="124"/>
      <c r="H17"/>
      <c r="I17"/>
      <c r="Q17"/>
      <c r="R17"/>
      <c r="S17"/>
      <c r="T17" s="217" t="s">
        <v>181</v>
      </c>
      <c r="U17" s="365" t="s">
        <v>172</v>
      </c>
      <c r="V17" s="358"/>
      <c r="W17" s="358"/>
      <c r="X17" s="84"/>
      <c r="Y17"/>
      <c r="Z17"/>
      <c r="AA17"/>
      <c r="AB17"/>
      <c r="AC17"/>
    </row>
    <row r="18" spans="1:29" ht="12.75">
      <c r="A18" s="518"/>
      <c r="B18" s="435">
        <v>14</v>
      </c>
      <c r="C18" s="197" t="s">
        <v>261</v>
      </c>
      <c r="D18" s="138"/>
      <c r="E18" s="125" t="str">
        <f>IF(D18="A",1,IF(D18="B",0.5,IF(D18="C",0.1,"Enter valid choice")))</f>
        <v>Enter valid choice</v>
      </c>
      <c r="F18" s="124">
        <f>IF(D18="E","Not a valid entry",IF(D18="a",0.1,IF(D18="b",0.5,IF(D18="c",1,""))))</f>
      </c>
      <c r="H18" s="139"/>
      <c r="I18" s="140"/>
      <c r="Q18"/>
      <c r="R18"/>
      <c r="S18"/>
      <c r="T18" s="220" t="s">
        <v>182</v>
      </c>
      <c r="U18" s="366" t="s">
        <v>173</v>
      </c>
      <c r="V18" s="34"/>
      <c r="W18" s="34"/>
      <c r="X18" s="86"/>
      <c r="Y18"/>
      <c r="Z18"/>
      <c r="AA18"/>
      <c r="AB18"/>
      <c r="AC18"/>
    </row>
    <row r="19" spans="1:29" ht="12.75">
      <c r="A19" s="518"/>
      <c r="B19" s="124">
        <v>15</v>
      </c>
      <c r="C19" s="141" t="s">
        <v>33</v>
      </c>
      <c r="D19" s="142"/>
      <c r="E19" s="125" t="str">
        <f>IF(D19="A",1,IF(D19="B",0.5,IF(D19="C",0.1,"Enter valid choice")))</f>
        <v>Enter valid choice</v>
      </c>
      <c r="F19" s="124">
        <f>IF(D19="E","Not a valid entry",IF(D19="H",0.1,IF(D19="M",0.5,IF(D19="L",1,""))))</f>
      </c>
      <c r="H19" s="139"/>
      <c r="I19" s="13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>
      <c r="A20" s="518"/>
      <c r="B20" s="172">
        <v>16</v>
      </c>
      <c r="C20" s="197" t="s">
        <v>291</v>
      </c>
      <c r="D20" s="143"/>
      <c r="E20" s="132" t="str">
        <f>IF(D20="","Enter percentage",IF(D20="n/a","n/a is not a valid choice",IF(D20&gt;0.75,"H",IF(D20&gt;=0.25,"M",IF(D20&gt;0,"L",IF(D20=0,"0"))))))</f>
        <v>Enter percentage</v>
      </c>
      <c r="F20" s="124">
        <f>IF(E20="E","Not a valid entry",IF(E20="H",1,IF(E20="M",0.5,IF(E20="L",0.1,""))))</f>
      </c>
      <c r="Q20"/>
      <c r="R20"/>
      <c r="S20"/>
      <c r="T20"/>
      <c r="U20"/>
      <c r="V20"/>
      <c r="W20"/>
      <c r="X20"/>
      <c r="Z20"/>
      <c r="AA20"/>
      <c r="AB20"/>
      <c r="AC20"/>
    </row>
    <row r="21" spans="1:29" ht="12.75">
      <c r="A21" s="518"/>
      <c r="B21" s="124">
        <v>17</v>
      </c>
      <c r="C21" s="198" t="s">
        <v>292</v>
      </c>
      <c r="D21" s="142"/>
      <c r="E21" s="125" t="str">
        <f>IF(D21="E","Invalid entry",IF(D21="A",1,IF(D21="B",0.5,IF(D21="C",0.1,IF(D21="N/A","0","Enter valid choice")))))</f>
        <v>Enter valid choice</v>
      </c>
      <c r="F21" s="144"/>
      <c r="Q21"/>
      <c r="R21"/>
      <c r="S21"/>
      <c r="T21"/>
      <c r="U21"/>
      <c r="V21"/>
      <c r="W21"/>
      <c r="X21"/>
      <c r="Z21"/>
      <c r="AA21"/>
      <c r="AB21"/>
      <c r="AC21"/>
    </row>
    <row r="22" spans="1:29" ht="12.75">
      <c r="A22" s="518"/>
      <c r="B22" s="172">
        <v>18</v>
      </c>
      <c r="C22" s="197" t="s">
        <v>36</v>
      </c>
      <c r="D22" s="142"/>
      <c r="E22" s="125" t="str">
        <f>IF(D22="A",1,IF(D22="B",0.5,IF(D22="C",0.1,"Enter valid choice")))</f>
        <v>Enter valid choice</v>
      </c>
      <c r="F22" s="144"/>
      <c r="Q22"/>
      <c r="R22"/>
      <c r="S22"/>
      <c r="T22"/>
      <c r="U22"/>
      <c r="V22"/>
      <c r="W22"/>
      <c r="X22"/>
      <c r="Z22"/>
      <c r="AA22"/>
      <c r="AB22"/>
      <c r="AC22"/>
    </row>
    <row r="23" spans="1:29" ht="12.75">
      <c r="A23" s="518"/>
      <c r="B23" s="434">
        <v>19</v>
      </c>
      <c r="C23" s="198" t="s">
        <v>37</v>
      </c>
      <c r="D23" s="142"/>
      <c r="E23" s="125" t="str">
        <f>IF(D23="A",0.1,IF(D23="B",0.5,IF(D23="C",1,"Enter valid choice")))</f>
        <v>Enter valid choice</v>
      </c>
      <c r="F23" s="144"/>
      <c r="G23" s="144"/>
      <c r="H23" s="145"/>
      <c r="I23" s="145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>
      <c r="A24" s="518"/>
      <c r="B24" s="172">
        <v>20</v>
      </c>
      <c r="C24" s="197" t="s">
        <v>35</v>
      </c>
      <c r="D24" s="142"/>
      <c r="E24" s="125" t="str">
        <f>IF(D24="A",1,IF(D24="B",0.5,IF(D24="C",0.1,"Enter valid choice")))</f>
        <v>Enter valid choice</v>
      </c>
      <c r="F24" s="124" t="str">
        <f>IF(D24="E","error",IF(D24="a",0.1,IF(D24="b",0.5,IF(D24="c",1,"-"))))</f>
        <v>-</v>
      </c>
      <c r="H24" s="139"/>
      <c r="I24" s="145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>
      <c r="A25" s="518"/>
      <c r="B25" s="434">
        <v>21</v>
      </c>
      <c r="C25" s="198" t="s">
        <v>38</v>
      </c>
      <c r="D25" s="142"/>
      <c r="E25" s="125" t="str">
        <f>IF(D25="A",1,IF(D25="B",0.5,IF(D25="C",0.1,"Enter valid choice")))</f>
        <v>Enter valid choice</v>
      </c>
      <c r="F25" s="144"/>
      <c r="G25" s="124"/>
      <c r="I25" s="139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>
      <c r="A26" s="518"/>
      <c r="B26" s="172">
        <v>22</v>
      </c>
      <c r="C26" s="197" t="s">
        <v>39</v>
      </c>
      <c r="D26" s="142"/>
      <c r="E26" s="125" t="str">
        <f>IF(D26="E","Invalid entry",IF(D26="A",1,IF(D26="B",0.5,IF(D26="C",0.1,"Enter valid choice"))))</f>
        <v>Enter valid choice</v>
      </c>
      <c r="F26" s="144"/>
      <c r="G26" s="144"/>
      <c r="H26" s="145"/>
      <c r="I26" s="145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>
      <c r="A27" s="518"/>
      <c r="B27" s="124">
        <v>23</v>
      </c>
      <c r="C27" s="198" t="s">
        <v>370</v>
      </c>
      <c r="D27" s="142"/>
      <c r="E27" s="132" t="str">
        <f>IF(D27&gt;50,"H",IF(D27&gt;=25,"M",IF(D27&gt;0,"L","Enter valid choice")))</f>
        <v>Enter valid choice</v>
      </c>
      <c r="F27" s="144" t="s">
        <v>146</v>
      </c>
      <c r="G27" s="124" t="str">
        <f>IF(E27="E","Invalid entry",IF(E27="H",1,IF(E27="M",0.5,IF(E27="L",0.1,"-"))))</f>
        <v>-</v>
      </c>
      <c r="H27" s="126" t="str">
        <f>IF(D27&gt;300,"H",IF(D27&gt;=50,"M",IF(D27&gt;0,"L","-")))</f>
        <v>-</v>
      </c>
      <c r="I27" s="124" t="str">
        <f>IF(H27="E","Invalid entry",IF(H27="H",1,IF(H27="M",0.5,IF(H27="L",0.1,"-"))))</f>
        <v>-</v>
      </c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2.75">
      <c r="A28" s="518"/>
      <c r="B28" s="173">
        <v>24</v>
      </c>
      <c r="C28" s="197" t="s">
        <v>390</v>
      </c>
      <c r="D28" s="143"/>
      <c r="E28" s="146">
        <f>D28*1</f>
        <v>0</v>
      </c>
      <c r="F28" s="124">
        <f>COUNTIF(E28:E30,"&gt;0")</f>
        <v>0</v>
      </c>
      <c r="G28" s="147">
        <f>E28+E29+E30</f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2.75">
      <c r="A29" s="518"/>
      <c r="B29" s="124"/>
      <c r="C29" s="173" t="s">
        <v>391</v>
      </c>
      <c r="D29" s="143"/>
      <c r="E29" s="148">
        <f>D29*0.5</f>
        <v>0</v>
      </c>
      <c r="F29" s="144"/>
      <c r="G29" s="124"/>
      <c r="H29" s="145"/>
      <c r="I29" s="145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>
      <c r="A30" s="518"/>
      <c r="B30" s="124"/>
      <c r="C30" s="173" t="s">
        <v>392</v>
      </c>
      <c r="D30" s="143"/>
      <c r="E30" s="149">
        <f>D30*0.1</f>
        <v>0</v>
      </c>
      <c r="F30" s="144"/>
      <c r="G30" s="124"/>
      <c r="H30" s="145"/>
      <c r="I30" s="145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 s="518"/>
      <c r="B31" s="124">
        <v>25</v>
      </c>
      <c r="C31" s="144" t="s">
        <v>371</v>
      </c>
      <c r="D31" s="143"/>
      <c r="E31" s="148">
        <f>D31*1</f>
        <v>0</v>
      </c>
      <c r="F31" s="124">
        <f>COUNTIF(E31:E33,"&gt;0")</f>
        <v>0</v>
      </c>
      <c r="G31" s="147">
        <f>E31+E32+E33</f>
        <v>0</v>
      </c>
      <c r="H31" s="150"/>
      <c r="I31" s="150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>
      <c r="A32" s="518"/>
      <c r="B32" s="124"/>
      <c r="C32" s="144" t="s">
        <v>393</v>
      </c>
      <c r="D32" s="143"/>
      <c r="E32" s="148">
        <f>D32*0.5</f>
        <v>0</v>
      </c>
      <c r="F32" s="151"/>
      <c r="G32" s="124"/>
      <c r="H32" s="150"/>
      <c r="I32" s="150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>
      <c r="A33" s="518"/>
      <c r="B33" s="124"/>
      <c r="C33" s="144" t="s">
        <v>394</v>
      </c>
      <c r="D33" s="143"/>
      <c r="E33" s="148">
        <f>D33*0.1</f>
        <v>0</v>
      </c>
      <c r="F33" s="151"/>
      <c r="G33" s="124"/>
      <c r="H33" s="150"/>
      <c r="I33" s="150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>
      <c r="A34" s="518"/>
      <c r="B34" s="172">
        <v>26</v>
      </c>
      <c r="C34" s="197" t="s">
        <v>372</v>
      </c>
      <c r="D34" s="143"/>
      <c r="E34" s="146">
        <f>D34*1</f>
        <v>0</v>
      </c>
      <c r="F34" s="124">
        <f>COUNTIF(E34:E36,"&gt;0")</f>
        <v>0</v>
      </c>
      <c r="G34" s="147">
        <f>E34+E35+E36</f>
        <v>0</v>
      </c>
      <c r="H34" s="150"/>
      <c r="I34" s="150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>
      <c r="A35" s="518"/>
      <c r="B35" s="124"/>
      <c r="C35" s="197" t="s">
        <v>376</v>
      </c>
      <c r="D35" s="143"/>
      <c r="E35" s="148">
        <f>D35*0.5</f>
        <v>0</v>
      </c>
      <c r="F35" s="151"/>
      <c r="G35" s="124"/>
      <c r="H35" s="150"/>
      <c r="I35" s="150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2.75">
      <c r="A36" s="518"/>
      <c r="B36" s="124"/>
      <c r="C36" s="197" t="s">
        <v>377</v>
      </c>
      <c r="D36" s="143"/>
      <c r="E36" s="149">
        <f>D36*0.1</f>
        <v>0</v>
      </c>
      <c r="F36" s="151"/>
      <c r="G36" s="124"/>
      <c r="H36" s="150"/>
      <c r="I36" s="150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6" customHeight="1">
      <c r="A37" s="518"/>
      <c r="B37" s="348"/>
      <c r="C37" s="349"/>
      <c r="D37" s="350"/>
      <c r="E37" s="351"/>
      <c r="F37" s="352"/>
      <c r="G37" s="406"/>
      <c r="H37" s="150"/>
      <c r="I37" s="150"/>
      <c r="J37" s="407"/>
      <c r="K37" s="407"/>
      <c r="L37" s="40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2:29" ht="12.75">
      <c r="B38" s="124"/>
      <c r="C38" s="197"/>
      <c r="D38" s="143"/>
      <c r="E38" s="346"/>
      <c r="F38" s="151"/>
      <c r="G38" s="124"/>
      <c r="H38" s="150"/>
      <c r="I38" s="150"/>
      <c r="Q38"/>
      <c r="R38"/>
      <c r="S38"/>
      <c r="T38" t="s">
        <v>355</v>
      </c>
      <c r="U38"/>
      <c r="V38"/>
      <c r="W38"/>
      <c r="X38"/>
      <c r="Y38"/>
      <c r="Z38"/>
      <c r="AA38"/>
      <c r="AB38"/>
      <c r="AC38"/>
    </row>
    <row r="39" spans="1:29" ht="126">
      <c r="A39" s="517" t="s">
        <v>351</v>
      </c>
      <c r="B39" s="434">
        <v>27</v>
      </c>
      <c r="C39" s="198" t="s">
        <v>277</v>
      </c>
      <c r="D39" s="142"/>
      <c r="E39" s="125" t="str">
        <f>IF(D39="E","Not a valid entry",IF(D39="A",1,IF(D39="B",0.5,IF(D39="C",0.1,"Enter valid choice"))))</f>
        <v>Enter valid choice</v>
      </c>
      <c r="F39" s="153"/>
      <c r="G39" s="153"/>
      <c r="Q39"/>
      <c r="R39"/>
      <c r="S39"/>
      <c r="T39" s="204" t="s">
        <v>337</v>
      </c>
      <c r="U39" s="205">
        <f>IF(E49="n/a",1,0)</f>
        <v>0</v>
      </c>
      <c r="V39" s="206" t="s">
        <v>363</v>
      </c>
      <c r="W39" s="206"/>
      <c r="X39" s="207"/>
      <c r="Y39"/>
      <c r="Z39"/>
      <c r="AA39"/>
      <c r="AB39"/>
      <c r="AC39"/>
    </row>
    <row r="40" spans="1:29" ht="12.75">
      <c r="A40" s="517"/>
      <c r="B40" s="172">
        <v>28</v>
      </c>
      <c r="C40" s="197" t="s">
        <v>40</v>
      </c>
      <c r="D40" s="142"/>
      <c r="E40" s="125" t="str">
        <f>IF(D40="E","Not a valid entry",IF(D40="A",1,IF(D40="B",0.5,IF(D40="C",0.1,"Enter valid choice"))))</f>
        <v>Enter valid choice</v>
      </c>
      <c r="F40" s="153"/>
      <c r="G40" s="153"/>
      <c r="Q40"/>
      <c r="R40"/>
      <c r="S40"/>
      <c r="T40" s="208" t="s">
        <v>361</v>
      </c>
      <c r="U40" s="209">
        <f>IF(E50="n/a",1.5,0)</f>
        <v>0</v>
      </c>
      <c r="V40" s="210" t="s">
        <v>364</v>
      </c>
      <c r="W40" s="210"/>
      <c r="X40" s="211"/>
      <c r="Y40"/>
      <c r="Z40"/>
      <c r="AA40"/>
      <c r="AB40"/>
      <c r="AC40"/>
    </row>
    <row r="41" spans="1:29" ht="12.75">
      <c r="A41" s="517"/>
      <c r="B41" s="124">
        <v>29</v>
      </c>
      <c r="C41" s="144" t="s">
        <v>184</v>
      </c>
      <c r="D41" s="142"/>
      <c r="E41" s="125" t="str">
        <f>IF(D41="Y","Y",IF(D41="N","N","Enter Y or N"))</f>
        <v>Enter Y or N</v>
      </c>
      <c r="F41" s="153"/>
      <c r="G41" s="153"/>
      <c r="Q41"/>
      <c r="R41"/>
      <c r="S41"/>
      <c r="T41" s="212" t="s">
        <v>362</v>
      </c>
      <c r="U41" s="209">
        <f>IF(E51="n/a",2,0)</f>
        <v>0</v>
      </c>
      <c r="V41" s="210" t="s">
        <v>365</v>
      </c>
      <c r="W41" s="210"/>
      <c r="X41" s="211"/>
      <c r="Y41"/>
      <c r="Z41"/>
      <c r="AA41"/>
      <c r="AB41"/>
      <c r="AC41"/>
    </row>
    <row r="42" spans="1:29" ht="12.75">
      <c r="A42" s="517"/>
      <c r="B42" s="172">
        <v>30</v>
      </c>
      <c r="C42" s="197" t="s">
        <v>42</v>
      </c>
      <c r="D42" s="143"/>
      <c r="E42" s="153" t="str">
        <f>IF(D42&gt;0.5,1,IF(D42&gt;0.1,0.5,IF(D42&gt;0.001,0.1,IF(D42="","Enter a percentage",0.1))))</f>
        <v>Enter a percentage</v>
      </c>
      <c r="F42" s="151"/>
      <c r="G42" s="124"/>
      <c r="Q42"/>
      <c r="R42"/>
      <c r="S42"/>
      <c r="T42" s="213" t="s">
        <v>145</v>
      </c>
      <c r="U42" s="214">
        <f>SUM(U39:U41)</f>
        <v>0</v>
      </c>
      <c r="V42" s="160"/>
      <c r="W42" s="160"/>
      <c r="X42" s="160"/>
      <c r="Y42"/>
      <c r="Z42"/>
      <c r="AA42"/>
      <c r="AB42"/>
      <c r="AC42"/>
    </row>
    <row r="43" spans="1:29" ht="12.75">
      <c r="A43" s="517"/>
      <c r="B43" s="124">
        <v>31</v>
      </c>
      <c r="C43" s="198" t="s">
        <v>275</v>
      </c>
      <c r="D43" s="142"/>
      <c r="E43" s="153" t="str">
        <f>IF(D43&gt;30,1,IF(D43&gt;9.9,0.5,IF(D43&gt;0.001,0.1,IF(D43="","Enter a percentage",0.1))))</f>
        <v>Enter a percentage</v>
      </c>
      <c r="F43" s="151"/>
      <c r="G43" s="124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2.75">
      <c r="A44" s="517"/>
      <c r="B44" s="172">
        <v>32</v>
      </c>
      <c r="C44" s="197" t="s">
        <v>43</v>
      </c>
      <c r="D44" s="142"/>
      <c r="E44" s="125" t="str">
        <f>IF(D44="E","Not a valid entry",IF(D44="A",1,IF(D44="B",0.5,IF(D44="C",0.1,"Enter valid choice"))))</f>
        <v>Enter valid choice</v>
      </c>
      <c r="F44" s="151"/>
      <c r="G44" s="151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2.75">
      <c r="A45" s="517"/>
      <c r="B45" s="124">
        <v>33</v>
      </c>
      <c r="C45" s="198" t="s">
        <v>44</v>
      </c>
      <c r="D45" s="142"/>
      <c r="E45" s="125" t="str">
        <f>IF(D45="E","Invalid entry",IF(D45="A",1,IF(D45="B",0.5,IF(D45="C",0.1,"Enter valid choice"))))</f>
        <v>Enter valid choice</v>
      </c>
      <c r="F45" s="151">
        <f>IF(D45="E","",IF(D45="A",0.1,IF(D45="B",0.5,IF(D45="C",1,""))))</f>
      </c>
      <c r="G45" s="151"/>
      <c r="H45" s="139"/>
      <c r="I45" s="139"/>
      <c r="Q45"/>
      <c r="R45"/>
      <c r="S45"/>
      <c r="T45" s="527" t="s">
        <v>147</v>
      </c>
      <c r="U45" s="528"/>
      <c r="V45" s="528"/>
      <c r="W45"/>
      <c r="X45"/>
      <c r="Y45"/>
      <c r="Z45"/>
      <c r="AA45"/>
      <c r="AB45"/>
      <c r="AC45"/>
    </row>
    <row r="46" spans="1:29" ht="12.75">
      <c r="A46" s="517"/>
      <c r="B46" s="172">
        <v>34</v>
      </c>
      <c r="C46" s="197" t="s">
        <v>276</v>
      </c>
      <c r="D46" s="142"/>
      <c r="E46" s="125" t="str">
        <f>IF(D46="E","Invalid entry",IF(D46="A",1,IF(D46="B",0.5,IF(D46="C",0.1,"Enter valid choice"))))</f>
        <v>Enter valid choice</v>
      </c>
      <c r="F46" s="151"/>
      <c r="G46" s="151"/>
      <c r="I46" s="150"/>
      <c r="Q46"/>
      <c r="R46"/>
      <c r="S46"/>
      <c r="T46" s="528"/>
      <c r="U46" s="528"/>
      <c r="V46" s="528"/>
      <c r="W46"/>
      <c r="X46"/>
      <c r="Y46"/>
      <c r="Z46"/>
      <c r="AA46"/>
      <c r="AB46"/>
      <c r="AC46"/>
    </row>
    <row r="47" spans="1:29" ht="12.75">
      <c r="A47" s="517"/>
      <c r="B47" s="434">
        <v>35</v>
      </c>
      <c r="C47" s="198" t="s">
        <v>3</v>
      </c>
      <c r="D47" s="142"/>
      <c r="E47" s="125" t="str">
        <f>IF(D47="Y","Y",IF(D47="N","N","Enter Y or N"))</f>
        <v>Enter Y or N</v>
      </c>
      <c r="F47" s="151"/>
      <c r="G47" s="151"/>
      <c r="H47" s="150"/>
      <c r="I47" s="150"/>
      <c r="Q47"/>
      <c r="R47"/>
      <c r="S47"/>
      <c r="T47" s="528"/>
      <c r="U47" s="528"/>
      <c r="V47" s="528"/>
      <c r="W47"/>
      <c r="X47"/>
      <c r="Y47"/>
      <c r="Z47"/>
      <c r="AA47"/>
      <c r="AB47"/>
      <c r="AC47"/>
    </row>
    <row r="48" spans="1:29" ht="12.75">
      <c r="A48" s="517"/>
      <c r="B48" s="435">
        <v>36</v>
      </c>
      <c r="C48" s="197" t="s">
        <v>309</v>
      </c>
      <c r="D48" s="142"/>
      <c r="E48" s="125" t="str">
        <f>IF(D48="Y","Y",IF(D48="N","N","Enter Y or N"))</f>
        <v>Enter Y or N</v>
      </c>
      <c r="F48" s="151"/>
      <c r="G48" s="151"/>
      <c r="H48" s="139"/>
      <c r="I48" s="139"/>
      <c r="J48"/>
      <c r="Q48"/>
      <c r="R48"/>
      <c r="S48"/>
      <c r="T48" s="154" t="s">
        <v>148</v>
      </c>
      <c r="U48" s="155" t="s">
        <v>149</v>
      </c>
      <c r="V48" s="156" t="s">
        <v>150</v>
      </c>
      <c r="W48"/>
      <c r="X48"/>
      <c r="Y48"/>
      <c r="Z48"/>
      <c r="AA48"/>
      <c r="AB48"/>
      <c r="AC48"/>
    </row>
    <row r="49" spans="1:29" ht="12.75">
      <c r="A49" s="517"/>
      <c r="B49" s="124">
        <v>37</v>
      </c>
      <c r="C49" s="198" t="s">
        <v>294</v>
      </c>
      <c r="D49" s="421" t="s">
        <v>138</v>
      </c>
      <c r="E49" s="153">
        <f>VLOOKUP(D49,T49:V58,3,FALSE)</f>
        <v>0</v>
      </c>
      <c r="F49" s="151" t="str">
        <f>VLOOKUP(D49,T49:U58,2,FALSE)</f>
        <v>"Pick an example from the image"</v>
      </c>
      <c r="H49" s="150"/>
      <c r="I49" s="150"/>
      <c r="J49"/>
      <c r="Q49"/>
      <c r="R49"/>
      <c r="S49"/>
      <c r="T49" s="157">
        <v>1</v>
      </c>
      <c r="U49" s="130">
        <v>0.1</v>
      </c>
      <c r="V49" s="158" t="s">
        <v>151</v>
      </c>
      <c r="W49"/>
      <c r="X49"/>
      <c r="Y49"/>
      <c r="Z49"/>
      <c r="AA49"/>
      <c r="AB49"/>
      <c r="AC49"/>
    </row>
    <row r="50" spans="1:29" ht="12.75">
      <c r="A50" s="517"/>
      <c r="B50" s="172">
        <v>38</v>
      </c>
      <c r="C50" s="197" t="s">
        <v>82</v>
      </c>
      <c r="D50" s="421" t="s">
        <v>138</v>
      </c>
      <c r="E50" s="153">
        <f>VLOOKUP(D50,T62:V67,2,FALSE)</f>
        <v>0</v>
      </c>
      <c r="F50" s="151" t="str">
        <f>VLOOKUP(D50,T62:V67,3,FALSE)</f>
        <v>"Pick an example from the image"</v>
      </c>
      <c r="H50" s="150"/>
      <c r="I50" s="150"/>
      <c r="J50" s="126" t="e">
        <f>((F56)*((I27*2)+E53+E18+F24)/5)</f>
        <v>#VALUE!</v>
      </c>
      <c r="Q50"/>
      <c r="R50"/>
      <c r="S50"/>
      <c r="T50" s="157">
        <v>2</v>
      </c>
      <c r="U50" s="130">
        <v>0.1</v>
      </c>
      <c r="V50" s="158" t="s">
        <v>151</v>
      </c>
      <c r="W50"/>
      <c r="X50"/>
      <c r="Y50"/>
      <c r="Z50"/>
      <c r="AA50"/>
      <c r="AB50"/>
      <c r="AC50"/>
    </row>
    <row r="51" spans="1:29" ht="12.75">
      <c r="A51" s="517"/>
      <c r="B51" s="124">
        <v>39</v>
      </c>
      <c r="C51" s="198" t="s">
        <v>45</v>
      </c>
      <c r="D51" s="142"/>
      <c r="E51" s="125" t="str">
        <f>IF(D51="E","Not a valid entry",IF(D51="A",1,IF(D51="B",0.5,IF(D51="C",0.1,IF(D51="N/A","N/A","Enter a valid choice")))))</f>
        <v>Enter a valid choice</v>
      </c>
      <c r="F51" s="151"/>
      <c r="G51" s="151"/>
      <c r="H51" s="150"/>
      <c r="I51" s="150"/>
      <c r="Q51"/>
      <c r="R51"/>
      <c r="S51"/>
      <c r="T51" s="157">
        <v>3</v>
      </c>
      <c r="U51" s="130">
        <v>0.5</v>
      </c>
      <c r="V51" s="158" t="s">
        <v>152</v>
      </c>
      <c r="W51"/>
      <c r="X51"/>
      <c r="Y51"/>
      <c r="Z51"/>
      <c r="AA51"/>
      <c r="AB51"/>
      <c r="AC51"/>
    </row>
    <row r="52" spans="1:29" ht="12.75">
      <c r="A52" s="517"/>
      <c r="B52" s="435">
        <v>40</v>
      </c>
      <c r="C52" s="197" t="s">
        <v>264</v>
      </c>
      <c r="D52" s="133"/>
      <c r="E52" s="125" t="str">
        <f>IF(D52="E","Invalid entry",IF(D52="A",1,IF(D52="B",0.5,IF(D52="C",0.1,"Enter valid choice"))))</f>
        <v>Enter valid choice</v>
      </c>
      <c r="F52" s="134">
        <f>MIN(E51,E52)</f>
        <v>0</v>
      </c>
      <c r="H52" s="127"/>
      <c r="I52" s="127"/>
      <c r="R52"/>
      <c r="S52"/>
      <c r="T52" s="157">
        <v>4</v>
      </c>
      <c r="U52" s="130">
        <v>0.5</v>
      </c>
      <c r="V52" s="158" t="s">
        <v>152</v>
      </c>
      <c r="W52"/>
      <c r="X52"/>
      <c r="Y52"/>
      <c r="Z52"/>
      <c r="AA52"/>
      <c r="AB52"/>
      <c r="AC52"/>
    </row>
    <row r="53" spans="1:29" ht="12.75">
      <c r="A53" s="517"/>
      <c r="B53" s="124">
        <v>41</v>
      </c>
      <c r="C53" s="198" t="s">
        <v>46</v>
      </c>
      <c r="D53" s="133"/>
      <c r="E53" s="125" t="str">
        <f>IF(D53="E","Invalid entry",IF(D53="A",1,IF(D53="B",0.5,IF(D53="C",0.1,"Enter valid choice"))))</f>
        <v>Enter valid choice</v>
      </c>
      <c r="F53" s="124"/>
      <c r="G53" s="124"/>
      <c r="H53" s="127"/>
      <c r="I53" s="127"/>
      <c r="Q53"/>
      <c r="R53"/>
      <c r="S53"/>
      <c r="T53" s="157">
        <v>5</v>
      </c>
      <c r="U53" s="130">
        <v>1</v>
      </c>
      <c r="V53" s="158" t="s">
        <v>153</v>
      </c>
      <c r="W53"/>
      <c r="X53"/>
      <c r="Y53"/>
      <c r="Z53"/>
      <c r="AA53"/>
      <c r="AB53"/>
      <c r="AC53"/>
    </row>
    <row r="54" spans="1:29" ht="12.75">
      <c r="A54" s="517"/>
      <c r="B54" s="172">
        <v>42</v>
      </c>
      <c r="C54" s="197" t="s">
        <v>198</v>
      </c>
      <c r="D54" s="133"/>
      <c r="E54" s="125" t="str">
        <f>IF(D54="a",1,IF(D54="i",0,"Enter 'A' or 'I'"))</f>
        <v>Enter 'A' or 'I'</v>
      </c>
      <c r="F54" s="226"/>
      <c r="G54" s="124"/>
      <c r="H54" s="127"/>
      <c r="I54" s="127"/>
      <c r="Q54"/>
      <c r="R54"/>
      <c r="S54"/>
      <c r="T54" s="157">
        <v>6</v>
      </c>
      <c r="U54" s="130">
        <v>0.5</v>
      </c>
      <c r="V54" s="158" t="s">
        <v>152</v>
      </c>
      <c r="W54"/>
      <c r="X54"/>
      <c r="Y54"/>
      <c r="Z54"/>
      <c r="AA54"/>
      <c r="AB54"/>
      <c r="AC54"/>
    </row>
    <row r="55" spans="1:29" ht="12.75">
      <c r="A55" s="517"/>
      <c r="B55" s="124">
        <v>43</v>
      </c>
      <c r="C55" s="198" t="s">
        <v>193</v>
      </c>
      <c r="D55" s="133"/>
      <c r="E55" s="125" t="str">
        <f>IF(D55="A",1,IF(D55="B",0.5,IF(D55="C",0.1,"Enter valid choice")))</f>
        <v>Enter valid choice</v>
      </c>
      <c r="F55" s="124"/>
      <c r="G55" s="124"/>
      <c r="H55" s="127"/>
      <c r="I55" s="127"/>
      <c r="Q55"/>
      <c r="R55"/>
      <c r="S55"/>
      <c r="T55" s="157">
        <v>7</v>
      </c>
      <c r="U55" s="130">
        <v>1</v>
      </c>
      <c r="V55" s="158" t="s">
        <v>153</v>
      </c>
      <c r="W55"/>
      <c r="X55"/>
      <c r="Y55"/>
      <c r="Z55"/>
      <c r="AA55"/>
      <c r="AB55"/>
      <c r="AC55"/>
    </row>
    <row r="56" spans="1:29" ht="12.75">
      <c r="A56" s="517"/>
      <c r="B56" s="172">
        <v>44</v>
      </c>
      <c r="C56" s="197" t="s">
        <v>250</v>
      </c>
      <c r="D56" s="133"/>
      <c r="E56" s="125" t="str">
        <f>IF(D56="E","Invalid entry",IF(D56="A",1,IF(D56="B",0.5,IF(D56="C",0.1,IF(D56="N/A","0","Enter a valid choice")))))</f>
        <v>Enter a valid choice</v>
      </c>
      <c r="F56" s="420"/>
      <c r="H56" s="127"/>
      <c r="I56" s="127"/>
      <c r="Q56"/>
      <c r="R56"/>
      <c r="S56"/>
      <c r="T56" s="157">
        <v>8</v>
      </c>
      <c r="U56" s="130">
        <v>0.1</v>
      </c>
      <c r="V56" s="158" t="s">
        <v>151</v>
      </c>
      <c r="W56"/>
      <c r="X56"/>
      <c r="Y56"/>
      <c r="Z56"/>
      <c r="AA56"/>
      <c r="AB56"/>
      <c r="AC56"/>
    </row>
    <row r="57" spans="1:29" ht="12.75">
      <c r="A57" s="517"/>
      <c r="B57" s="124">
        <v>45</v>
      </c>
      <c r="C57" s="198" t="s">
        <v>63</v>
      </c>
      <c r="D57" s="162"/>
      <c r="E57" s="125"/>
      <c r="F57" s="124"/>
      <c r="G57" s="124"/>
      <c r="H57" s="127"/>
      <c r="I57" s="127"/>
      <c r="Q57"/>
      <c r="R57"/>
      <c r="S57"/>
      <c r="T57" s="157" t="s">
        <v>154</v>
      </c>
      <c r="U57" s="130" t="s">
        <v>154</v>
      </c>
      <c r="V57" s="158" t="s">
        <v>154</v>
      </c>
      <c r="W57"/>
      <c r="X57"/>
      <c r="Y57"/>
      <c r="Z57"/>
      <c r="AA57"/>
      <c r="AB57"/>
      <c r="AC57"/>
    </row>
    <row r="58" spans="1:29" ht="12.75">
      <c r="A58" s="517"/>
      <c r="B58" s="172">
        <v>46</v>
      </c>
      <c r="C58" s="197" t="s">
        <v>297</v>
      </c>
      <c r="D58" s="133"/>
      <c r="E58" s="125" t="str">
        <f>IF(D58="E","2",IF(D58="N/A","N/A",IF(D58="A",1,IF(D58="B",0.5,IF(D58="C",0.1,"Enter valid choice")))))</f>
        <v>Enter valid choice</v>
      </c>
      <c r="F58" s="124"/>
      <c r="G58" s="124"/>
      <c r="H58" s="127"/>
      <c r="I58" s="127"/>
      <c r="Q58"/>
      <c r="R58"/>
      <c r="S58"/>
      <c r="T58" s="159" t="s">
        <v>138</v>
      </c>
      <c r="U58" s="323" t="s">
        <v>330</v>
      </c>
      <c r="W58"/>
      <c r="X58"/>
      <c r="Y58"/>
      <c r="Z58"/>
      <c r="AA58"/>
      <c r="AB58"/>
      <c r="AC58"/>
    </row>
    <row r="59" spans="1:29" ht="12.75">
      <c r="A59" s="517"/>
      <c r="B59" s="124">
        <v>47</v>
      </c>
      <c r="C59" s="198" t="s">
        <v>251</v>
      </c>
      <c r="D59" s="162"/>
      <c r="E59" s="125"/>
      <c r="F59" s="124"/>
      <c r="G59" s="124"/>
      <c r="H59" s="127"/>
      <c r="I59" s="127"/>
      <c r="Q59"/>
      <c r="R59"/>
      <c r="S59"/>
      <c r="T59" s="523" t="s">
        <v>155</v>
      </c>
      <c r="U59" s="524"/>
      <c r="V59" s="524"/>
      <c r="W59"/>
      <c r="X59"/>
      <c r="Y59"/>
      <c r="Z59"/>
      <c r="AA59"/>
      <c r="AB59"/>
      <c r="AC59"/>
    </row>
    <row r="60" spans="1:29" ht="12.75">
      <c r="A60" s="517"/>
      <c r="B60" s="172">
        <v>48</v>
      </c>
      <c r="C60" s="197" t="s">
        <v>310</v>
      </c>
      <c r="D60" s="133"/>
      <c r="E60" s="125" t="str">
        <f>IF(D60="Y","Y",IF(D60="N","N","Enter Y or N"))</f>
        <v>Enter Y or N</v>
      </c>
      <c r="F60" s="124"/>
      <c r="G60" s="124"/>
      <c r="H60" s="127"/>
      <c r="I60" s="127"/>
      <c r="Q60"/>
      <c r="R60"/>
      <c r="S60"/>
      <c r="T60" s="525"/>
      <c r="U60" s="525"/>
      <c r="V60" s="525"/>
      <c r="W60"/>
      <c r="X60"/>
      <c r="Y60"/>
      <c r="Z60"/>
      <c r="AA60"/>
      <c r="AB60"/>
      <c r="AC60"/>
    </row>
    <row r="61" spans="1:29" ht="12.75">
      <c r="A61" s="517"/>
      <c r="B61" s="124">
        <v>49</v>
      </c>
      <c r="C61" s="198" t="s">
        <v>47</v>
      </c>
      <c r="D61" s="133"/>
      <c r="E61" s="125" t="str">
        <f>IF(D61="E","Invalid entry",IF(D61="A",1,IF(D61="B",0.5,IF(D61="C",0.1,"Enter valid choice"))))</f>
        <v>Enter valid choice</v>
      </c>
      <c r="F61" s="124"/>
      <c r="G61" s="124"/>
      <c r="H61" s="127"/>
      <c r="I61" s="127"/>
      <c r="Q61"/>
      <c r="R61"/>
      <c r="S61"/>
      <c r="T61" s="526"/>
      <c r="U61" s="526"/>
      <c r="V61" s="526"/>
      <c r="W61"/>
      <c r="X61"/>
      <c r="Y61"/>
      <c r="Z61"/>
      <c r="AA61"/>
      <c r="AB61"/>
      <c r="AC61"/>
    </row>
    <row r="62" spans="1:29" ht="12.75">
      <c r="A62" s="517"/>
      <c r="B62" s="172">
        <v>50</v>
      </c>
      <c r="C62" s="197" t="s">
        <v>48</v>
      </c>
      <c r="D62" s="133"/>
      <c r="E62" s="125" t="str">
        <f>IF(D62="Y","1",IF(D62="N","0.1","Enter Y or N"))</f>
        <v>Enter Y or N</v>
      </c>
      <c r="F62" s="124"/>
      <c r="G62" s="124"/>
      <c r="H62" s="127"/>
      <c r="I62" s="127"/>
      <c r="Q62"/>
      <c r="R62"/>
      <c r="S62"/>
      <c r="T62" s="154">
        <v>1</v>
      </c>
      <c r="U62" s="155" t="s">
        <v>151</v>
      </c>
      <c r="V62" s="156">
        <v>0.1</v>
      </c>
      <c r="W62"/>
      <c r="X62"/>
      <c r="Y62"/>
      <c r="Z62"/>
      <c r="AA62"/>
      <c r="AB62"/>
      <c r="AC62"/>
    </row>
    <row r="63" spans="1:29" ht="12.75">
      <c r="A63" s="517"/>
      <c r="B63" s="434">
        <v>51</v>
      </c>
      <c r="C63" s="198" t="s">
        <v>49</v>
      </c>
      <c r="D63" s="133"/>
      <c r="E63" s="125" t="str">
        <f aca="true" t="shared" si="0" ref="E63:E68">IF(D63="E","Invalid entry",IF(D63="A",1,IF(D63="B",0.5,IF(D63="C",0.1,"Enter valid choice"))))</f>
        <v>Enter valid choice</v>
      </c>
      <c r="F63" s="124"/>
      <c r="G63" s="124"/>
      <c r="H63" s="127"/>
      <c r="I63" s="127"/>
      <c r="Q63"/>
      <c r="R63"/>
      <c r="S63"/>
      <c r="T63" s="157">
        <v>2</v>
      </c>
      <c r="U63" s="130" t="s">
        <v>152</v>
      </c>
      <c r="V63" s="158">
        <v>0.5</v>
      </c>
      <c r="W63"/>
      <c r="X63"/>
      <c r="Y63"/>
      <c r="Z63"/>
      <c r="AA63"/>
      <c r="AB63"/>
      <c r="AC63"/>
    </row>
    <row r="64" spans="1:29" ht="12.75">
      <c r="A64" s="517"/>
      <c r="B64" s="172">
        <v>52</v>
      </c>
      <c r="C64" s="197" t="s">
        <v>50</v>
      </c>
      <c r="D64" s="133"/>
      <c r="E64" s="125" t="str">
        <f t="shared" si="0"/>
        <v>Enter valid choice</v>
      </c>
      <c r="F64" s="124"/>
      <c r="G64" s="124"/>
      <c r="H64" s="127"/>
      <c r="I64" s="127"/>
      <c r="Q64"/>
      <c r="R64"/>
      <c r="S64"/>
      <c r="T64" s="157">
        <v>3</v>
      </c>
      <c r="U64" s="130" t="s">
        <v>153</v>
      </c>
      <c r="V64" s="158">
        <v>1</v>
      </c>
      <c r="W64"/>
      <c r="X64"/>
      <c r="Y64"/>
      <c r="Z64"/>
      <c r="AA64"/>
      <c r="AB64"/>
      <c r="AC64"/>
    </row>
    <row r="65" spans="1:29" ht="12.75">
      <c r="A65" s="517"/>
      <c r="B65" s="124">
        <v>53</v>
      </c>
      <c r="C65" s="198" t="s">
        <v>51</v>
      </c>
      <c r="D65" s="133"/>
      <c r="E65" s="125" t="str">
        <f t="shared" si="0"/>
        <v>Enter valid choice</v>
      </c>
      <c r="F65" s="124"/>
      <c r="G65" s="124"/>
      <c r="H65" s="127"/>
      <c r="I65" s="127"/>
      <c r="Q65"/>
      <c r="R65"/>
      <c r="S65"/>
      <c r="T65" s="157">
        <v>4</v>
      </c>
      <c r="U65" s="130" t="s">
        <v>153</v>
      </c>
      <c r="V65" s="158">
        <v>1</v>
      </c>
      <c r="W65"/>
      <c r="X65"/>
      <c r="Y65"/>
      <c r="Z65"/>
      <c r="AA65"/>
      <c r="AB65"/>
      <c r="AC65"/>
    </row>
    <row r="66" spans="1:29" ht="12.75">
      <c r="A66" s="517"/>
      <c r="B66" s="172">
        <v>54</v>
      </c>
      <c r="C66" s="197" t="s">
        <v>52</v>
      </c>
      <c r="D66" s="133"/>
      <c r="E66" s="125" t="str">
        <f t="shared" si="0"/>
        <v>Enter valid choice</v>
      </c>
      <c r="F66" s="124"/>
      <c r="G66" s="124"/>
      <c r="H66" s="127"/>
      <c r="I66" s="127"/>
      <c r="Q66"/>
      <c r="R66"/>
      <c r="S66"/>
      <c r="T66" s="157" t="s">
        <v>154</v>
      </c>
      <c r="U66" s="130" t="s">
        <v>154</v>
      </c>
      <c r="V66" s="158" t="s">
        <v>154</v>
      </c>
      <c r="W66"/>
      <c r="X66"/>
      <c r="Y66"/>
      <c r="Z66"/>
      <c r="AA66"/>
      <c r="AB66"/>
      <c r="AC66"/>
    </row>
    <row r="67" spans="1:29" ht="12.75">
      <c r="A67" s="517"/>
      <c r="B67" s="124">
        <v>55</v>
      </c>
      <c r="C67" s="198" t="s">
        <v>53</v>
      </c>
      <c r="D67" s="133"/>
      <c r="E67" s="125" t="str">
        <f>IF(D67="E","Invalid entry",IF(D67="A",1,IF(D67="B",0.5,IF(D67="C",0.1,"Enter valid choice"))))</f>
        <v>Enter valid choice</v>
      </c>
      <c r="F67" s="124"/>
      <c r="G67" s="124"/>
      <c r="H67" s="127"/>
      <c r="I67" s="127"/>
      <c r="Q67"/>
      <c r="R67"/>
      <c r="S67"/>
      <c r="T67" s="159" t="s">
        <v>138</v>
      </c>
      <c r="U67" s="160"/>
      <c r="V67" s="160" t="s">
        <v>330</v>
      </c>
      <c r="W67"/>
      <c r="X67"/>
      <c r="Y67"/>
      <c r="Z67"/>
      <c r="AA67"/>
      <c r="AB67"/>
      <c r="AC67"/>
    </row>
    <row r="68" spans="1:29" ht="12.75">
      <c r="A68" s="517"/>
      <c r="B68" s="172">
        <v>56</v>
      </c>
      <c r="C68" s="197" t="s">
        <v>265</v>
      </c>
      <c r="D68" s="133"/>
      <c r="E68" s="125" t="str">
        <f t="shared" si="0"/>
        <v>Enter valid choice</v>
      </c>
      <c r="F68" s="124"/>
      <c r="G68" s="124"/>
      <c r="H68" s="127"/>
      <c r="I68" s="127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2.75">
      <c r="A69" s="517"/>
      <c r="B69" s="124">
        <v>57</v>
      </c>
      <c r="C69" s="198" t="s">
        <v>54</v>
      </c>
      <c r="D69" s="133"/>
      <c r="E69" s="125" t="str">
        <f>IF(D69="E","Invalid entry",IF(D69="A",1,IF(D69="B",0.5,IF(D69="C",0.1,IF(D69="N/A","N/A","Enter a valid choice")))))</f>
        <v>Enter a valid choice</v>
      </c>
      <c r="F69" s="124"/>
      <c r="G69" s="124"/>
      <c r="H69" s="127"/>
      <c r="I69" s="127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2:31" ht="12.75">
      <c r="B70" s="124"/>
      <c r="C70" s="354"/>
      <c r="D70" s="355"/>
      <c r="E70" s="125"/>
      <c r="F70" s="124"/>
      <c r="G70" s="124"/>
      <c r="H70" s="127"/>
      <c r="I70" s="127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29" ht="6.75" customHeight="1">
      <c r="A71" s="347"/>
      <c r="B71" s="348"/>
      <c r="C71" s="349"/>
      <c r="D71" s="350"/>
      <c r="E71" s="351"/>
      <c r="F71" s="352"/>
      <c r="G71" s="348"/>
      <c r="H71" s="353"/>
      <c r="I71" s="353"/>
      <c r="J71" s="347"/>
      <c r="K71" s="347"/>
      <c r="L71" s="347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2:29" ht="12.75">
      <c r="B72" s="124"/>
      <c r="C72" s="129"/>
      <c r="D72" s="125"/>
      <c r="E72" s="125"/>
      <c r="F72" s="124"/>
      <c r="G72" s="124"/>
      <c r="H72" s="127"/>
      <c r="I72" s="127"/>
      <c r="Q72"/>
      <c r="R72"/>
      <c r="S72"/>
      <c r="T72" s="368" t="s">
        <v>342</v>
      </c>
      <c r="Y72"/>
      <c r="Z72"/>
      <c r="AA72"/>
      <c r="AB72"/>
      <c r="AC72"/>
    </row>
    <row r="73" spans="2:29" ht="12.75">
      <c r="B73" s="436">
        <v>58</v>
      </c>
      <c r="C73" s="335" t="s">
        <v>64</v>
      </c>
      <c r="D73" s="421" t="s">
        <v>138</v>
      </c>
      <c r="E73" s="332" t="s">
        <v>334</v>
      </c>
      <c r="F73" t="str">
        <f>VLOOKUP(D73,T139:U141,2,FALSE)</f>
        <v>Enter "R" or "D"</v>
      </c>
      <c r="G73"/>
      <c r="Q73"/>
      <c r="R73"/>
      <c r="S73"/>
      <c r="T73" s="128" t="s">
        <v>343</v>
      </c>
      <c r="Y73"/>
      <c r="Z73"/>
      <c r="AA73"/>
      <c r="AB73"/>
      <c r="AC73"/>
    </row>
    <row r="74" spans="2:29" ht="12.75">
      <c r="B74" s="437">
        <v>59</v>
      </c>
      <c r="C74" s="63" t="s">
        <v>65</v>
      </c>
      <c r="D74" s="421" t="s">
        <v>138</v>
      </c>
      <c r="E74" s="281" t="s">
        <v>334</v>
      </c>
      <c r="F74" t="str">
        <f>VLOOKUP(D74,T139:U141,2,FALSE)</f>
        <v>Enter "R" or "D"</v>
      </c>
      <c r="G74"/>
      <c r="T74" s="128"/>
      <c r="Y74"/>
      <c r="Z74"/>
      <c r="AA74"/>
      <c r="AB74"/>
      <c r="AC74"/>
    </row>
    <row r="75" spans="2:20" ht="12.75">
      <c r="B75" s="438">
        <v>60</v>
      </c>
      <c r="C75" s="336" t="s">
        <v>66</v>
      </c>
      <c r="D75" s="421" t="s">
        <v>138</v>
      </c>
      <c r="E75" s="332" t="s">
        <v>334</v>
      </c>
      <c r="F75" t="str">
        <f>VLOOKUP(D75,T139:U141,2,FALSE)</f>
        <v>Enter "R" or "D"</v>
      </c>
      <c r="G75"/>
      <c r="H75"/>
      <c r="I75"/>
      <c r="J75"/>
      <c r="T75" s="368" t="s">
        <v>341</v>
      </c>
    </row>
    <row r="76" spans="1:33" ht="12.75">
      <c r="A76" s="516" t="s">
        <v>350</v>
      </c>
      <c r="B76" s="38">
        <v>61</v>
      </c>
      <c r="C76" s="229" t="s">
        <v>67</v>
      </c>
      <c r="D76" s="421" t="s">
        <v>138</v>
      </c>
      <c r="E76" s="281" t="s">
        <v>334</v>
      </c>
      <c r="F76" t="str">
        <f>VLOOKUP(D76,T139:U141,2,FALSE)</f>
        <v>Enter "R" or "D"</v>
      </c>
      <c r="G76"/>
      <c r="H76"/>
      <c r="I76"/>
      <c r="J76"/>
      <c r="T76" s="164" t="s">
        <v>414</v>
      </c>
      <c r="U76" s="367"/>
      <c r="AG76"/>
    </row>
    <row r="77" spans="1:33" ht="12.75">
      <c r="A77" s="516"/>
      <c r="B77" s="43">
        <v>62</v>
      </c>
      <c r="C77" s="337" t="s">
        <v>68</v>
      </c>
      <c r="D77" s="421" t="s">
        <v>138</v>
      </c>
      <c r="E77" s="332" t="s">
        <v>334</v>
      </c>
      <c r="F77" t="str">
        <f>VLOOKUP(D77,T139:U141,2,FALSE)</f>
        <v>Enter "R" or "D"</v>
      </c>
      <c r="G77"/>
      <c r="H77"/>
      <c r="I77"/>
      <c r="J77"/>
      <c r="W77"/>
      <c r="AG77"/>
    </row>
    <row r="78" spans="1:31" ht="13.5" thickBot="1">
      <c r="A78" s="516"/>
      <c r="B78" s="439">
        <v>63</v>
      </c>
      <c r="C78" s="67" t="s">
        <v>69</v>
      </c>
      <c r="D78" s="421" t="s">
        <v>138</v>
      </c>
      <c r="E78" s="281" t="s">
        <v>334</v>
      </c>
      <c r="F78" t="str">
        <f>VLOOKUP(D78,T139:U141,2,FALSE)</f>
        <v>Enter "R" or "D"</v>
      </c>
      <c r="G78"/>
      <c r="H78"/>
      <c r="I78"/>
      <c r="J78"/>
      <c r="T78" s="222" t="s">
        <v>344</v>
      </c>
      <c r="U78" s="357"/>
      <c r="V78" s="357"/>
      <c r="W78" s="357"/>
      <c r="X78" s="357"/>
      <c r="Y78" s="357"/>
      <c r="Z78" s="357"/>
      <c r="AA78" s="357"/>
      <c r="AB78" s="357"/>
      <c r="AC78" s="357"/>
      <c r="AD78" s="82"/>
      <c r="AE78"/>
    </row>
    <row r="79" spans="1:31" ht="13.5" customHeight="1" thickTop="1">
      <c r="A79" s="516"/>
      <c r="B79" s="43">
        <v>64</v>
      </c>
      <c r="C79" s="338" t="s">
        <v>55</v>
      </c>
      <c r="D79" s="421"/>
      <c r="E79" s="328" t="s">
        <v>335</v>
      </c>
      <c r="F79" s="320">
        <f>SUM(F73:F78)</f>
        <v>0</v>
      </c>
      <c r="G79"/>
      <c r="T79" s="157" t="s">
        <v>194</v>
      </c>
      <c r="U79" s="130"/>
      <c r="V79" s="130"/>
      <c r="W79" s="34" t="s">
        <v>199</v>
      </c>
      <c r="X79" s="34"/>
      <c r="Y79" s="34"/>
      <c r="Z79" s="34"/>
      <c r="AA79" s="34"/>
      <c r="AB79" s="34"/>
      <c r="AC79" s="34"/>
      <c r="AD79" s="86"/>
      <c r="AE79"/>
    </row>
    <row r="80" spans="1:31" ht="12.75">
      <c r="A80" s="516"/>
      <c r="B80" s="38">
        <v>65</v>
      </c>
      <c r="C80" s="324" t="s">
        <v>56</v>
      </c>
      <c r="D80" s="421"/>
      <c r="E80" s="325" t="s">
        <v>327</v>
      </c>
      <c r="F80" t="str">
        <f>IF(D80="E","Invalid entry",IF(D80="A",1,IF(D80="B",0.5,IF(D80="C",0.1,"Enter valid choice"))))</f>
        <v>Enter valid choice</v>
      </c>
      <c r="G80"/>
      <c r="Q80"/>
      <c r="R80"/>
      <c r="S80"/>
      <c r="T80" s="157" t="s">
        <v>196</v>
      </c>
      <c r="U80" s="130"/>
      <c r="V80" s="358" t="e">
        <f>((E16+(F18+E23)/2+(E19+E22)/2+(E24+E25)/2+(F20+E21+E26)/3)/5)</f>
        <v>#VALUE!</v>
      </c>
      <c r="W80" s="358" t="s">
        <v>398</v>
      </c>
      <c r="X80" s="358"/>
      <c r="Y80" s="358"/>
      <c r="Z80" s="358"/>
      <c r="AA80" s="358"/>
      <c r="AB80" s="358"/>
      <c r="AC80" s="358"/>
      <c r="AD80" s="84"/>
      <c r="AE80"/>
    </row>
    <row r="81" spans="1:31" ht="13.5" customHeight="1">
      <c r="A81" s="516"/>
      <c r="B81" s="438" t="s">
        <v>382</v>
      </c>
      <c r="C81" s="339" t="s">
        <v>359</v>
      </c>
      <c r="D81" s="422">
        <f>D14</f>
        <v>0</v>
      </c>
      <c r="E81" s="326" t="s">
        <v>331</v>
      </c>
      <c r="F81"/>
      <c r="G81"/>
      <c r="Q81"/>
      <c r="T81" s="157" t="s">
        <v>200</v>
      </c>
      <c r="U81" s="130"/>
      <c r="V81" s="358" t="e">
        <f>((F18+E23)/2+(E19+E22)/2+(E24+E25)/2+(F20+E21+E26)/3)/4</f>
        <v>#VALUE!</v>
      </c>
      <c r="W81" s="358" t="s">
        <v>399</v>
      </c>
      <c r="X81" s="358"/>
      <c r="Y81" s="358"/>
      <c r="Z81" s="358"/>
      <c r="AA81" s="358"/>
      <c r="AB81" s="358"/>
      <c r="AC81" s="358"/>
      <c r="AD81" s="84"/>
      <c r="AE81"/>
    </row>
    <row r="82" spans="1:31" ht="12.75">
      <c r="A82" s="516"/>
      <c r="B82" s="442" t="s">
        <v>383</v>
      </c>
      <c r="C82" s="340" t="s">
        <v>253</v>
      </c>
      <c r="D82" s="421"/>
      <c r="E82" s="327" t="s">
        <v>331</v>
      </c>
      <c r="F82">
        <f>IF(D82&lt;2,0.1,IF(D82&lt;10,0.5,1))</f>
        <v>0.1</v>
      </c>
      <c r="G82"/>
      <c r="Q82"/>
      <c r="T82" s="157" t="s">
        <v>201</v>
      </c>
      <c r="U82" s="130"/>
      <c r="V82" s="358" t="e">
        <f>((E16+(F18+E23)/2+(E19+E22)/2+(E24+E25)/2+E26)/5)</f>
        <v>#VALUE!</v>
      </c>
      <c r="W82" s="358" t="s">
        <v>400</v>
      </c>
      <c r="X82" s="358"/>
      <c r="Y82" s="358"/>
      <c r="Z82" s="358"/>
      <c r="AA82" s="358"/>
      <c r="AB82" s="358"/>
      <c r="AC82" s="358"/>
      <c r="AD82" s="84"/>
      <c r="AE82"/>
    </row>
    <row r="83" spans="1:31" ht="12.75">
      <c r="A83" s="516"/>
      <c r="B83" s="443" t="s">
        <v>384</v>
      </c>
      <c r="C83" s="338" t="s">
        <v>381</v>
      </c>
      <c r="D83" s="422">
        <f>D82-D81</f>
        <v>0</v>
      </c>
      <c r="E83" s="328" t="s">
        <v>331</v>
      </c>
      <c r="F83" s="533" t="s">
        <v>386</v>
      </c>
      <c r="G83" s="507"/>
      <c r="H83" s="507"/>
      <c r="I83" s="423" t="e">
        <f>D83/D82</f>
        <v>#DIV/0!</v>
      </c>
      <c r="Q83"/>
      <c r="T83" s="159" t="s">
        <v>202</v>
      </c>
      <c r="U83" s="160"/>
      <c r="V83" s="34" t="e">
        <f>((F18+E23)/2+(E19+E22)/2+(E24+E25)/2+E26)/4</f>
        <v>#VALUE!</v>
      </c>
      <c r="W83" s="34" t="s">
        <v>401</v>
      </c>
      <c r="X83" s="34"/>
      <c r="Y83" s="34"/>
      <c r="Z83" s="34"/>
      <c r="AA83" s="34"/>
      <c r="AB83" s="34"/>
      <c r="AC83" s="34"/>
      <c r="AD83" s="86"/>
      <c r="AE83"/>
    </row>
    <row r="84" spans="1:29" ht="12.75">
      <c r="A84" s="516"/>
      <c r="B84" s="38">
        <v>67</v>
      </c>
      <c r="C84" s="340" t="s">
        <v>278</v>
      </c>
      <c r="D84" s="421">
        <v>0</v>
      </c>
      <c r="E84" s="329" t="s">
        <v>332</v>
      </c>
      <c r="F84">
        <f>IF(D84="","Enter potential width in feet",IF(D84&lt;25,0.1,IF(D84&lt;50,0.5,1)))</f>
        <v>0.1</v>
      </c>
      <c r="G84"/>
      <c r="H84" s="429" t="s">
        <v>385</v>
      </c>
      <c r="I84" s="126" t="e">
        <f>IF(I83&lt;0.2,0.1,IF(I83&lt;0.6,0.5,1))</f>
        <v>#DIV/0!</v>
      </c>
      <c r="Q84"/>
      <c r="Z84"/>
      <c r="AA84"/>
      <c r="AB84"/>
      <c r="AC84"/>
    </row>
    <row r="85" spans="1:30" ht="12.75">
      <c r="A85" s="516"/>
      <c r="B85" s="43">
        <v>68</v>
      </c>
      <c r="C85" s="338" t="s">
        <v>380</v>
      </c>
      <c r="D85" s="421"/>
      <c r="E85" s="328" t="s">
        <v>326</v>
      </c>
      <c r="F85" t="str">
        <f>IF(D85="E","Invalid entry",IF(D85="A",1,IF(D85="B",0.5,IF(D85="C",0.1,"Enter valid choice"))))</f>
        <v>Enter valid choice</v>
      </c>
      <c r="G85"/>
      <c r="Q85"/>
      <c r="T85"/>
      <c r="U85"/>
      <c r="V85"/>
      <c r="W85"/>
      <c r="X85"/>
      <c r="Y85"/>
      <c r="Z85"/>
      <c r="AA85"/>
      <c r="AB85"/>
      <c r="AC85"/>
      <c r="AD85"/>
    </row>
    <row r="86" spans="1:30" ht="12.75" customHeight="1">
      <c r="A86" s="516"/>
      <c r="B86" s="38">
        <v>69</v>
      </c>
      <c r="C86" s="341" t="s">
        <v>59</v>
      </c>
      <c r="D86" s="421"/>
      <c r="E86" s="334" t="s">
        <v>186</v>
      </c>
      <c r="G86" s="333"/>
      <c r="H86" s="333"/>
      <c r="Q86"/>
      <c r="T86"/>
      <c r="U86"/>
      <c r="V86"/>
      <c r="W86"/>
      <c r="X86"/>
      <c r="Y86"/>
      <c r="Z86"/>
      <c r="AA86"/>
      <c r="AB86"/>
      <c r="AC86"/>
      <c r="AD86"/>
    </row>
    <row r="87" spans="1:30" ht="12.75" customHeight="1">
      <c r="A87" s="516"/>
      <c r="B87" s="43">
        <v>70</v>
      </c>
      <c r="C87" s="338" t="s">
        <v>256</v>
      </c>
      <c r="D87" s="421"/>
      <c r="E87" s="344" t="s">
        <v>17</v>
      </c>
      <c r="F87"/>
      <c r="G87"/>
      <c r="Q87"/>
      <c r="T87"/>
      <c r="U87"/>
      <c r="V87"/>
      <c r="W87"/>
      <c r="X87"/>
      <c r="Y87"/>
      <c r="Z87"/>
      <c r="AA87"/>
      <c r="AB87"/>
      <c r="AC87"/>
      <c r="AD87"/>
    </row>
    <row r="88" spans="2:30" ht="12.75">
      <c r="B88" s="38">
        <v>71</v>
      </c>
      <c r="C88" s="342" t="s">
        <v>58</v>
      </c>
      <c r="D88" s="421"/>
      <c r="E88" s="327" t="s">
        <v>328</v>
      </c>
      <c r="F88"/>
      <c r="G88"/>
      <c r="Q88"/>
      <c r="T88"/>
      <c r="U88"/>
      <c r="V88"/>
      <c r="W88"/>
      <c r="X88"/>
      <c r="Y88"/>
      <c r="Z88"/>
      <c r="AA88"/>
      <c r="AB88"/>
      <c r="AC88"/>
      <c r="AD88"/>
    </row>
    <row r="89" spans="2:30" ht="13.5" thickBot="1">
      <c r="B89" s="69">
        <v>72</v>
      </c>
      <c r="C89" s="343" t="s">
        <v>57</v>
      </c>
      <c r="D89" s="421"/>
      <c r="E89" s="345" t="s">
        <v>329</v>
      </c>
      <c r="F89"/>
      <c r="G89"/>
      <c r="Q89"/>
      <c r="T89"/>
      <c r="U89"/>
      <c r="V89"/>
      <c r="W89"/>
      <c r="X89"/>
      <c r="Y89"/>
      <c r="Z89"/>
      <c r="AA89"/>
      <c r="AB89"/>
      <c r="AC89"/>
      <c r="AD89"/>
    </row>
    <row r="90" spans="5:29" ht="12.75">
      <c r="E90" s="126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6" customHeight="1">
      <c r="A91" s="347"/>
      <c r="B91" s="348"/>
      <c r="C91" s="349"/>
      <c r="D91" s="350"/>
      <c r="E91" s="351"/>
      <c r="F91" s="352"/>
      <c r="G91" s="348"/>
      <c r="H91" s="353"/>
      <c r="I91" s="353"/>
      <c r="J91" s="347"/>
      <c r="K91" s="347"/>
      <c r="L91" s="347"/>
      <c r="Q91"/>
      <c r="Z91"/>
      <c r="AA91"/>
      <c r="AB91"/>
      <c r="AC91"/>
    </row>
    <row r="92" spans="5:17" ht="12.75">
      <c r="E92" s="126"/>
      <c r="Q92"/>
    </row>
    <row r="93" spans="5:26" ht="12.75">
      <c r="E93" s="126"/>
      <c r="F93" s="506" t="s">
        <v>340</v>
      </c>
      <c r="Q93"/>
      <c r="T93" s="369" t="s">
        <v>160</v>
      </c>
      <c r="U93" s="155"/>
      <c r="V93" s="155"/>
      <c r="W93" s="155"/>
      <c r="X93" s="155"/>
      <c r="Y93" s="155"/>
      <c r="Z93" s="156"/>
    </row>
    <row r="94" spans="4:26" ht="12.75" customHeight="1">
      <c r="D94" s="514" t="s">
        <v>356</v>
      </c>
      <c r="E94" s="505" t="s">
        <v>339</v>
      </c>
      <c r="F94" s="507"/>
      <c r="Q94"/>
      <c r="R94"/>
      <c r="S94"/>
      <c r="T94" s="379" t="s">
        <v>411</v>
      </c>
      <c r="U94" s="130"/>
      <c r="V94" s="130"/>
      <c r="W94" s="130"/>
      <c r="X94" s="130"/>
      <c r="Y94" s="130"/>
      <c r="Z94" s="158"/>
    </row>
    <row r="95" spans="3:29" ht="28.5" customHeight="1">
      <c r="C95" s="131" t="s">
        <v>156</v>
      </c>
      <c r="D95" s="515"/>
      <c r="E95" s="485"/>
      <c r="F95" s="485"/>
      <c r="H95" s="147" t="s">
        <v>349</v>
      </c>
      <c r="T95" s="380" t="s">
        <v>0</v>
      </c>
      <c r="U95" s="155"/>
      <c r="V95" s="155"/>
      <c r="W95" s="155"/>
      <c r="X95" s="155"/>
      <c r="Y95" s="155"/>
      <c r="Z95" s="155"/>
      <c r="AA95" s="155"/>
      <c r="AB95" s="155"/>
      <c r="AC95" s="156"/>
    </row>
    <row r="96" spans="1:29" ht="12.75" customHeight="1">
      <c r="A96" s="512" t="s">
        <v>388</v>
      </c>
      <c r="C96" s="381" t="s">
        <v>280</v>
      </c>
      <c r="D96" s="414"/>
      <c r="E96" s="177">
        <f>D6</f>
        <v>0</v>
      </c>
      <c r="F96" s="191" t="str">
        <f>IF(E96&gt;1,"Exceptional",IF(E96&gt;0.65,"High",IF(E96&gt;0.32,"Med",IF(E96&gt;0,"L","error"))))</f>
        <v>error</v>
      </c>
      <c r="I96" s="408">
        <f>IF('FieldForm-Side1'!D6="b","Special Feature--calcareous fen","")</f>
      </c>
      <c r="T96" s="370" t="s">
        <v>410</v>
      </c>
      <c r="U96" s="160"/>
      <c r="V96" s="160"/>
      <c r="W96" s="160"/>
      <c r="X96" s="160"/>
      <c r="Y96" s="160"/>
      <c r="Z96" s="160"/>
      <c r="AA96" s="160"/>
      <c r="AB96" s="160"/>
      <c r="AC96" s="161"/>
    </row>
    <row r="97" spans="1:9" ht="12.75">
      <c r="A97" s="513"/>
      <c r="C97" s="382"/>
      <c r="D97" s="415"/>
      <c r="E97" s="175"/>
      <c r="F97" s="192"/>
      <c r="I97" s="408">
        <f>IF('FieldForm-Side1'!D6="i","Special Feature--established &amp; persistent fed/state listed endangered species or species of concern","")</f>
      </c>
    </row>
    <row r="98" spans="1:32" ht="12.75">
      <c r="A98" s="513"/>
      <c r="B98"/>
      <c r="C98" s="383" t="s">
        <v>157</v>
      </c>
      <c r="D98" s="416"/>
      <c r="E98" s="177" t="e">
        <f>(E17+E18+E19+F24)/4</f>
        <v>#VALUE!</v>
      </c>
      <c r="F98" s="193" t="e">
        <f>IF(E98&lt;0.33,"Low",IF(E98&lt;0.66,"Med",IF(E98&lt;1.1,"High","Exc")))</f>
        <v>#VALUE!</v>
      </c>
      <c r="I98" s="408">
        <f>IF('FieldForm-Side1'!D64="Y","-- Listed, rare, or special plant species present","")</f>
      </c>
      <c r="T98" s="81" t="s">
        <v>154</v>
      </c>
      <c r="U98" s="357" t="s">
        <v>195</v>
      </c>
      <c r="V98" s="360" t="s">
        <v>197</v>
      </c>
      <c r="W98" s="359" t="s">
        <v>345</v>
      </c>
      <c r="X98" s="357"/>
      <c r="Y98" s="357"/>
      <c r="Z98" s="357"/>
      <c r="AA98" s="357"/>
      <c r="AB98" s="357"/>
      <c r="AC98" s="357"/>
      <c r="AD98" s="357"/>
      <c r="AE98" s="357"/>
      <c r="AF98" s="82"/>
    </row>
    <row r="99" spans="1:32" ht="12.75">
      <c r="A99" s="513"/>
      <c r="B99"/>
      <c r="C99" s="384"/>
      <c r="D99" s="417"/>
      <c r="E99" s="175"/>
      <c r="F99" s="194"/>
      <c r="I99" s="408">
        <f>IF('FieldForm-Side1'!D65="Y","-- Rare community or habitat present","")</f>
      </c>
      <c r="T99" s="157" t="s">
        <v>196</v>
      </c>
      <c r="U99" s="130">
        <v>0</v>
      </c>
      <c r="V99" s="130" t="e">
        <f>(D6*2+E51+F49+F50+E52+E53+(I27+G28+G31)/3+E17+F24)/10</f>
        <v>#VALUE!</v>
      </c>
      <c r="W99" s="130" t="s">
        <v>402</v>
      </c>
      <c r="X99" s="358"/>
      <c r="Y99" s="358"/>
      <c r="Z99" s="358"/>
      <c r="AA99" s="358"/>
      <c r="AB99" s="358"/>
      <c r="AC99" s="358"/>
      <c r="AD99" s="358"/>
      <c r="AE99" s="358"/>
      <c r="AF99" s="84"/>
    </row>
    <row r="100" spans="1:32" ht="12.75" customHeight="1">
      <c r="A100" s="513"/>
      <c r="B100"/>
      <c r="C100" s="385" t="s">
        <v>158</v>
      </c>
      <c r="D100" s="416"/>
      <c r="E100" s="177" t="e">
        <f>IF(E16="N/A",((F18+E23)/2+(E19+E22)/2+(E24+E25)/2+(F20+E21+E26)/3)/4,((E16+(F18+E23)/2+(E19+E22)/2+(E24+E25)/2+(F20+E21+E26)/3)/5))</f>
        <v>#VALUE!</v>
      </c>
      <c r="F100" s="190" t="e">
        <f>IF(E100&lt;0.33,"Low",IF(E100&lt;0.66,"Med",IF(E100&lt;1.1,"High","Exc")))</f>
        <v>#VALUE!</v>
      </c>
      <c r="I100" s="408">
        <f>IF('FieldForm-Side1'!D66="Y","-- Pre-european-settlement conditions present","")</f>
      </c>
      <c r="J100" s="367"/>
      <c r="K100" s="367"/>
      <c r="L100" s="367"/>
      <c r="M100" s="367"/>
      <c r="N100" s="367"/>
      <c r="O100" s="367"/>
      <c r="T100" s="361">
        <v>49</v>
      </c>
      <c r="U100" s="358">
        <v>1</v>
      </c>
      <c r="V100" s="130" t="e">
        <f>(D6*2+E51+F50+E52+E53+(I27+G28+G31)/3+E17+F24)/9</f>
        <v>#VALUE!</v>
      </c>
      <c r="W100" s="130" t="s">
        <v>403</v>
      </c>
      <c r="X100" s="358"/>
      <c r="Y100" s="358"/>
      <c r="Z100" s="358"/>
      <c r="AA100" s="358"/>
      <c r="AB100" s="358"/>
      <c r="AC100" s="358"/>
      <c r="AD100" s="358"/>
      <c r="AE100" s="358"/>
      <c r="AF100" s="84"/>
    </row>
    <row r="101" spans="1:32" ht="12.75">
      <c r="A101" s="513"/>
      <c r="C101" s="386"/>
      <c r="D101" s="417"/>
      <c r="E101" s="175"/>
      <c r="F101" s="189"/>
      <c r="I101" s="367"/>
      <c r="J101" s="367"/>
      <c r="K101" s="367"/>
      <c r="L101" s="367"/>
      <c r="M101" s="367"/>
      <c r="N101" s="367"/>
      <c r="O101" s="367"/>
      <c r="P101" s="367"/>
      <c r="Q101" s="367"/>
      <c r="T101" s="361">
        <v>50</v>
      </c>
      <c r="U101" s="358">
        <v>1.5</v>
      </c>
      <c r="V101" s="358" t="e">
        <f>(D6*2+E51+F49+E52+E53+(I27+G28+G31)/3+E17+F24)/9</f>
        <v>#VALUE!</v>
      </c>
      <c r="W101" s="358" t="s">
        <v>404</v>
      </c>
      <c r="X101" s="358"/>
      <c r="Y101" s="358"/>
      <c r="Z101" s="358"/>
      <c r="AA101" s="358"/>
      <c r="AB101" s="358"/>
      <c r="AC101" s="358"/>
      <c r="AD101" s="358"/>
      <c r="AE101" s="358"/>
      <c r="AF101" s="84"/>
    </row>
    <row r="102" spans="1:32" ht="12.75" customHeight="1">
      <c r="A102" s="513"/>
      <c r="C102" s="387" t="s">
        <v>159</v>
      </c>
      <c r="D102" s="416"/>
      <c r="E102" s="175" t="e">
        <f>IF(E16="N/A",((E18+E24+E22+(G27+G28+G34)/3+(F20+E21)/2+E39)/6),((E18+E24+E22+(G27+G28+G34)/3+(F20+E21)/2+E39+E16)/7))</f>
        <v>#VALUE!</v>
      </c>
      <c r="F102" s="187" t="e">
        <f>IF(E102&lt;0.33,"Low",IF(E102&lt;0.66,"Med",IF(E102&lt;1.1,"High","Exc")))</f>
        <v>#VALUE!</v>
      </c>
      <c r="I102" s="367"/>
      <c r="J102" s="367"/>
      <c r="K102" s="367"/>
      <c r="L102" s="367"/>
      <c r="M102" s="367"/>
      <c r="N102" s="367"/>
      <c r="O102" s="367"/>
      <c r="P102" s="367"/>
      <c r="Q102" s="367"/>
      <c r="T102" s="361">
        <v>51</v>
      </c>
      <c r="U102" s="358">
        <v>2</v>
      </c>
      <c r="V102" s="358" t="e">
        <f>(D6*2+F49+F50+E52+E53+(I27+G28+G31)/3+E17+F24)/9</f>
        <v>#VALUE!</v>
      </c>
      <c r="W102" s="358" t="s">
        <v>406</v>
      </c>
      <c r="X102" s="358"/>
      <c r="Y102" s="358"/>
      <c r="Z102" s="358"/>
      <c r="AA102" s="358"/>
      <c r="AB102" s="358"/>
      <c r="AC102" s="358"/>
      <c r="AD102" s="358"/>
      <c r="AE102" s="358"/>
      <c r="AF102" s="84"/>
    </row>
    <row r="103" spans="1:32" ht="12.75" customHeight="1">
      <c r="A103" s="513"/>
      <c r="C103" s="388"/>
      <c r="D103" s="417"/>
      <c r="F103" s="188"/>
      <c r="J103" s="367"/>
      <c r="K103" s="367"/>
      <c r="L103" s="367"/>
      <c r="M103" s="367"/>
      <c r="N103" s="367"/>
      <c r="O103" s="367"/>
      <c r="P103" s="367"/>
      <c r="Q103" s="367"/>
      <c r="T103" s="361" t="s">
        <v>366</v>
      </c>
      <c r="U103" s="358">
        <v>2.5</v>
      </c>
      <c r="V103" s="358" t="e">
        <f>(D6*2+E51+E52+E53+(I27+G28+G31)/3+E17+F24)/8</f>
        <v>#VALUE!</v>
      </c>
      <c r="W103" s="358" t="s">
        <v>405</v>
      </c>
      <c r="X103" s="358"/>
      <c r="Y103" s="358"/>
      <c r="Z103" s="358"/>
      <c r="AA103" s="358"/>
      <c r="AB103" s="358"/>
      <c r="AC103" s="358"/>
      <c r="AD103" s="358"/>
      <c r="AE103" s="358"/>
      <c r="AF103" s="84"/>
    </row>
    <row r="104" spans="1:32" ht="12.75">
      <c r="A104" s="513"/>
      <c r="C104" s="389" t="s">
        <v>160</v>
      </c>
      <c r="D104" s="418"/>
      <c r="E104" s="177" t="e">
        <f>(D6*2+E18+F24+(G27+G28+G34)/3+E22+E40)/7</f>
        <v>#VALUE!</v>
      </c>
      <c r="F104" s="185" t="e">
        <f>IF(E104&lt;0.33,"Low",IF(E104&lt;0.66,"Med",IF(E104&lt;1.1,"High","Exc")))</f>
        <v>#VALUE!</v>
      </c>
      <c r="T104" s="361" t="s">
        <v>367</v>
      </c>
      <c r="U104" s="358">
        <v>3</v>
      </c>
      <c r="V104" s="358" t="e">
        <f>(D6*2+F50+E52+E53+(I27+G28+G31)/3+E17+F24)/8</f>
        <v>#VALUE!</v>
      </c>
      <c r="W104" s="358" t="s">
        <v>407</v>
      </c>
      <c r="X104" s="358"/>
      <c r="Y104" s="358"/>
      <c r="Z104" s="358"/>
      <c r="AA104" s="358"/>
      <c r="AB104" s="358"/>
      <c r="AC104" s="358"/>
      <c r="AD104" s="358"/>
      <c r="AE104" s="358"/>
      <c r="AF104" s="84"/>
    </row>
    <row r="105" spans="1:32" ht="12.75">
      <c r="A105" s="513"/>
      <c r="C105" s="390"/>
      <c r="D105" s="419"/>
      <c r="E105" s="175"/>
      <c r="F105" s="186"/>
      <c r="T105" s="361" t="s">
        <v>368</v>
      </c>
      <c r="U105" s="358">
        <v>3.5</v>
      </c>
      <c r="V105" s="358" t="e">
        <f>(D6*2+F49+E52+E53+(I27+G28+G31)/3+E17+F24)/8</f>
        <v>#VALUE!</v>
      </c>
      <c r="W105" s="358" t="s">
        <v>408</v>
      </c>
      <c r="X105" s="358"/>
      <c r="Y105" s="358"/>
      <c r="Z105" s="358"/>
      <c r="AA105" s="358"/>
      <c r="AB105" s="358"/>
      <c r="AC105" s="358"/>
      <c r="AD105" s="358"/>
      <c r="AE105" s="358"/>
      <c r="AF105" s="84"/>
    </row>
    <row r="106" spans="1:32" ht="12.75">
      <c r="A106" s="513"/>
      <c r="C106" s="391" t="s">
        <v>0</v>
      </c>
      <c r="D106" s="418"/>
      <c r="E106" s="177" t="str">
        <f>IF(E41="y",((E42+E43+E44+E45+E46)/5),"N/A")</f>
        <v>N/A</v>
      </c>
      <c r="F106" s="183" t="str">
        <f>IF(E106="N/A","N/A",IF(E106&lt;0.33,"Low",IF(E106&lt;0.66,"Med",IF(E106&lt;1.1,"High","Exc"))))</f>
        <v>N/A</v>
      </c>
      <c r="T106" s="318" t="s">
        <v>369</v>
      </c>
      <c r="U106" s="34">
        <v>4.5</v>
      </c>
      <c r="V106" s="160" t="e">
        <f>(D6*2+E52+E53+(I27+G28+G31)/3+E17+F24)/7</f>
        <v>#VALUE!</v>
      </c>
      <c r="W106" s="160" t="s">
        <v>409</v>
      </c>
      <c r="X106" s="34"/>
      <c r="Y106" s="34"/>
      <c r="Z106" s="34"/>
      <c r="AA106" s="34"/>
      <c r="AB106" s="34"/>
      <c r="AC106" s="34"/>
      <c r="AD106" s="34"/>
      <c r="AE106" s="34"/>
      <c r="AF106" s="86"/>
    </row>
    <row r="107" spans="1:9" ht="12.75">
      <c r="A107" s="513"/>
      <c r="C107" s="392"/>
      <c r="D107" s="419"/>
      <c r="E107" s="175"/>
      <c r="F107" s="184"/>
      <c r="I107" s="128"/>
    </row>
    <row r="108" spans="1:29" ht="12.75" customHeight="1">
      <c r="A108" s="513"/>
      <c r="C108" s="393" t="s">
        <v>287</v>
      </c>
      <c r="D108" s="412" t="e">
        <f>VLOOKUP(U42,U99:V106,2,FALSE)</f>
        <v>#VALUE!</v>
      </c>
      <c r="E108" s="411" t="e">
        <f>IF(AND('FieldForm-Side1'!D6="d",'FieldForm-Side1'!D65="y")=TRUE,"2",IF(AND('FieldForm-Side1'!D6="j",D47="y")=TRUE,"2",IF('FieldForm-Side1'!D6="g","2",D108)))</f>
        <v>#VALUE!</v>
      </c>
      <c r="F108" s="178" t="e">
        <f>IF(E108&lt;0.33,"Low",IF(E108&lt;0.66,"Med",IF(E108&lt;1.1,"High","Exc")))</f>
        <v>#VALUE!</v>
      </c>
      <c r="H108" s="408">
        <f>IF('FieldForm-Side1'!D6="d","Special Feature--rare natural community","")</f>
      </c>
      <c r="I108" s="410"/>
      <c r="J108" s="410"/>
      <c r="K108" s="410"/>
      <c r="L108" s="410"/>
      <c r="M108" s="410"/>
      <c r="N108" s="410"/>
      <c r="O108" s="227"/>
      <c r="P108" s="227"/>
      <c r="Q108" s="227"/>
      <c r="T108" s="371" t="s">
        <v>347</v>
      </c>
      <c r="U108" s="372"/>
      <c r="V108" s="372"/>
      <c r="W108" s="372"/>
      <c r="X108" s="372"/>
      <c r="Y108" s="372"/>
      <c r="Z108" s="372"/>
      <c r="AA108" s="155"/>
      <c r="AB108" s="155"/>
      <c r="AC108" s="156"/>
    </row>
    <row r="109" spans="1:29" ht="12.75">
      <c r="A109" s="513"/>
      <c r="C109" s="394"/>
      <c r="D109" s="419"/>
      <c r="F109" s="176"/>
      <c r="H109" s="408">
        <f>IF('FieldForm-Side1'!D6="j","Special Feature--federal/state listed endangered/threatened wildlife species or species of concern in or using the wetland","")</f>
      </c>
      <c r="P109" s="298"/>
      <c r="Q109" s="227"/>
      <c r="T109" s="508" t="s">
        <v>389</v>
      </c>
      <c r="U109" s="509"/>
      <c r="V109" s="509"/>
      <c r="W109" s="509"/>
      <c r="X109" s="509"/>
      <c r="Y109" s="509"/>
      <c r="Z109" s="509"/>
      <c r="AA109" s="130"/>
      <c r="AB109" s="130"/>
      <c r="AC109" s="158"/>
    </row>
    <row r="110" spans="1:29" ht="12.75" customHeight="1">
      <c r="A110" s="513"/>
      <c r="C110" s="395" t="s">
        <v>288</v>
      </c>
      <c r="D110" s="418" t="e">
        <f>IF(D41="Y",((E58*2+G28+E22+F24+E40+E43+E42+F45)/9),((E58*2+G28+E22+F24+E40)/6))</f>
        <v>#VALUE!</v>
      </c>
      <c r="E110" s="177" t="e">
        <f>IF(E58="N/A","N/A",IF('FieldForm-Side1'!D6="a","2",IF('FieldForm-Side1'!D6="g","2",IF(D41="Y",((E58*2+G28+E22+F24+E40+E43+E42+F45)/9),((E58*2+G28+E22+F24+E40)/6)))))</f>
        <v>#VALUE!</v>
      </c>
      <c r="F110" s="179" t="e">
        <f>IF(E110="N/A","N/A",IF(E110&lt;0.33,"Low",IF(E110&lt;0.66,"Med",IF(E110&lt;1.1,"High","Exc"))))</f>
        <v>#VALUE!</v>
      </c>
      <c r="H110" s="408">
        <f>IF('FieldForm-Side1'!D6="g","Special Feature--State or Federal fish and wildlife refuge or fish &amp; wildlife management area","")</f>
      </c>
      <c r="T110" s="510"/>
      <c r="U110" s="511"/>
      <c r="V110" s="511"/>
      <c r="W110" s="511"/>
      <c r="X110" s="511"/>
      <c r="Y110" s="511"/>
      <c r="Z110" s="511"/>
      <c r="AA110" s="160"/>
      <c r="AB110" s="160"/>
      <c r="AC110" s="161"/>
    </row>
    <row r="111" spans="1:9" ht="12.75">
      <c r="A111" s="513"/>
      <c r="C111" s="396"/>
      <c r="D111" s="419"/>
      <c r="E111" s="175"/>
      <c r="F111" s="180"/>
      <c r="H111" s="408">
        <f>IF('FieldForm-Side1'!D6="a","Special Feature--designated trout stream or trout lake","")</f>
      </c>
      <c r="I111"/>
    </row>
    <row r="112" spans="1:31" ht="12.75">
      <c r="A112" s="513"/>
      <c r="C112" s="397" t="s">
        <v>289</v>
      </c>
      <c r="D112" s="418"/>
      <c r="E112" s="177" t="e">
        <f>VLOOKUP(E54,T116:U117,2,FALSE)</f>
        <v>#N/A</v>
      </c>
      <c r="F112" s="181" t="e">
        <f>IF(E112=0,"N/A",IF(E112&lt;0.33,"Low",IF(E112&lt;0.66,"Med",IF(E112&lt;1.1,"High","High-e"))))</f>
        <v>#N/A</v>
      </c>
      <c r="T112" s="222" t="s">
        <v>348</v>
      </c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</row>
    <row r="113" spans="1:31" ht="14.25" customHeight="1">
      <c r="A113" s="513"/>
      <c r="C113" s="398"/>
      <c r="D113" s="419"/>
      <c r="E113" s="175"/>
      <c r="F113" s="182"/>
      <c r="H113" s="408">
        <f>IF('FieldForm-Side1'!D6="c","Special Feature--calcareous fen","")</f>
      </c>
      <c r="T113" s="373" t="s">
        <v>378</v>
      </c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1"/>
    </row>
    <row r="114" spans="3:8" ht="12.75" customHeight="1">
      <c r="C114" s="391" t="s">
        <v>290</v>
      </c>
      <c r="D114" s="418" t="e">
        <f>IF(E65=0.1,(E62+E63+E64+2*E65+E66+E67+E68)/8,(E61+E62+E63+E64+E65+E66+E67+E68)/8)</f>
        <v>#VALUE!</v>
      </c>
      <c r="E114" s="177" t="e">
        <f>IF('FieldForm-Side1'!D6="c","2",IF('FieldForm-Side1'!D6="h","2",IF('FieldForm-Side1'!D6="u","2",IF(E60="Y","2",D114))))</f>
        <v>#VALUE!</v>
      </c>
      <c r="F114" s="183" t="e">
        <f>IF(E114&lt;0.33,"Low",IF(E114&lt;0.66,"Med",IF(E114&lt;1.1,"High","Exc")))</f>
        <v>#VALUE!</v>
      </c>
      <c r="H114" s="408">
        <f>IF('FieldForm-Side1'!D6="h","Special Feature--archaelogic or historic SHPO-designated site","")</f>
      </c>
    </row>
    <row r="115" spans="3:32" ht="12.75">
      <c r="C115" s="391"/>
      <c r="D115" s="174"/>
      <c r="E115" s="175"/>
      <c r="F115" s="391"/>
      <c r="H115" s="408">
        <f>IF('FieldForm-Side1'!D6="u","Special Feature--State or Federal designated wilderness area","")</f>
      </c>
      <c r="T115" s="314"/>
      <c r="U115" s="359" t="s">
        <v>241</v>
      </c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82"/>
    </row>
    <row r="116" spans="3:32" ht="12.75">
      <c r="C116" s="399" t="s">
        <v>161</v>
      </c>
      <c r="D116" s="165"/>
      <c r="E116" s="163" t="str">
        <f>E69</f>
        <v>Enter a valid choice</v>
      </c>
      <c r="F116" s="166" t="str">
        <f>IF(E116="N/A","N/A",IF(E116&lt;0.33,"Low",IF(E116&lt;0.66,"Med",IF(E116&lt;1.1,"High","Exc"))))</f>
        <v>Exc</v>
      </c>
      <c r="H116" s="126" t="str">
        <f>IF(E69="N/A",0,E69)</f>
        <v>Enter a valid choice</v>
      </c>
      <c r="T116" s="316">
        <v>0</v>
      </c>
      <c r="U116" s="362">
        <v>0</v>
      </c>
      <c r="V116" s="358" t="s">
        <v>259</v>
      </c>
      <c r="W116" s="358"/>
      <c r="X116" s="358"/>
      <c r="Y116" s="358"/>
      <c r="Z116" s="358"/>
      <c r="AA116" s="358"/>
      <c r="AB116" s="358"/>
      <c r="AC116" s="358"/>
      <c r="AD116" s="358"/>
      <c r="AE116" s="358"/>
      <c r="AF116" s="84"/>
    </row>
    <row r="117" spans="3:32" ht="12.75">
      <c r="C117" s="399"/>
      <c r="F117" s="399"/>
      <c r="T117" s="363">
        <v>1</v>
      </c>
      <c r="U117" s="364" t="e">
        <f>((E55)*(E56+(I27*2)+E53+E18+F24)/6)</f>
        <v>#VALUE!</v>
      </c>
      <c r="V117" s="364" t="s">
        <v>379</v>
      </c>
      <c r="W117" s="34"/>
      <c r="X117" s="34"/>
      <c r="Y117" s="34"/>
      <c r="Z117" s="34"/>
      <c r="AA117" s="34"/>
      <c r="AB117" s="34"/>
      <c r="AC117" s="34"/>
      <c r="AD117" s="34"/>
      <c r="AE117" s="34"/>
      <c r="AF117" s="86"/>
    </row>
    <row r="118" spans="3:14" ht="12.75">
      <c r="C118" s="400" t="s">
        <v>242</v>
      </c>
      <c r="D118" s="223"/>
      <c r="E118" s="224"/>
      <c r="F118" s="225" t="str">
        <f>'FieldForm-Side1'!D6</f>
        <v>-</v>
      </c>
      <c r="G118" s="223" t="str">
        <f>'FieldForm-Side1'!E6</f>
        <v>____</v>
      </c>
      <c r="H118" s="224"/>
      <c r="I118" s="224"/>
      <c r="J118" s="224"/>
      <c r="K118" s="224"/>
      <c r="L118" s="224"/>
      <c r="M118" s="224"/>
      <c r="N118" s="224"/>
    </row>
    <row r="119" spans="3:32" ht="12.75">
      <c r="C119" s="83"/>
      <c r="D119"/>
      <c r="E119"/>
      <c r="F119"/>
      <c r="G119"/>
      <c r="T119" s="374" t="s">
        <v>346</v>
      </c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6"/>
    </row>
    <row r="120" spans="3:32" ht="12.75">
      <c r="C120" s="401" t="s">
        <v>314</v>
      </c>
      <c r="D120"/>
      <c r="E120" s="356" t="str">
        <f>IF(F79&lt;2.4,"recharge",IF(F79&lt;3.4,"indeterminate GW source","discharge"))</f>
        <v>recharge</v>
      </c>
      <c r="F120" s="356"/>
      <c r="G120" s="356"/>
      <c r="H120" s="157">
        <f>IF('FieldForm-Side1'!D6="q","Special Feature--designated wellhead or sourcewater protection area","")</f>
      </c>
      <c r="T120" s="508" t="s">
        <v>412</v>
      </c>
      <c r="U120" s="509"/>
      <c r="V120" s="509"/>
      <c r="W120" s="509"/>
      <c r="X120" s="509"/>
      <c r="Y120" s="509"/>
      <c r="Z120" s="509"/>
      <c r="AA120" s="130"/>
      <c r="AB120" s="130"/>
      <c r="AC120" s="130"/>
      <c r="AD120" s="130"/>
      <c r="AE120" s="130"/>
      <c r="AF120" s="158"/>
    </row>
    <row r="121" spans="3:32" ht="12.75">
      <c r="C121" s="426" t="s">
        <v>324</v>
      </c>
      <c r="D121"/>
      <c r="E121" s="424">
        <f>IF(F121="Exceptional","2","")</f>
      </c>
      <c r="F121" s="413" t="str">
        <f>IF(OR(AND('FieldForm-Side1'!D6="q",E120="recharge"),AND('FieldForm-Side1'!D6="r",E120="recharge"))=TRUE,"Exceptional","no special indicators")</f>
        <v>no special indicators</v>
      </c>
      <c r="G121" s="413"/>
      <c r="H121" s="413"/>
      <c r="I121"/>
      <c r="J121"/>
      <c r="T121" s="510"/>
      <c r="U121" s="511"/>
      <c r="V121" s="511"/>
      <c r="W121" s="511"/>
      <c r="X121" s="511"/>
      <c r="Y121" s="511"/>
      <c r="Z121" s="511"/>
      <c r="AA121" s="160"/>
      <c r="AB121" s="160"/>
      <c r="AC121" s="160"/>
      <c r="AD121" s="160"/>
      <c r="AE121" s="160"/>
      <c r="AF121" s="161"/>
    </row>
    <row r="122" ht="12.75">
      <c r="C122" s="157"/>
    </row>
    <row r="123" spans="3:28" ht="12.75">
      <c r="C123" s="427" t="s">
        <v>357</v>
      </c>
      <c r="E123" s="425" t="e">
        <f>IF(D79="N","N/A",(F80+E25+F82+I84+F84+F85)/6)</f>
        <v>#VALUE!</v>
      </c>
      <c r="F123" t="e">
        <f>IF(E123="N/A","N/A",IF(E123&lt;0.33,"Low",IF(E123&lt;0.66,"Med",IF(E123&lt;1.1,"High","Exc"))))</f>
        <v>#VALUE!</v>
      </c>
      <c r="T123" s="375" t="s">
        <v>413</v>
      </c>
      <c r="U123" s="376"/>
      <c r="V123" s="377"/>
      <c r="W123" s="376"/>
      <c r="X123" s="376"/>
      <c r="Y123" s="376"/>
      <c r="Z123" s="376"/>
      <c r="AA123" s="376"/>
      <c r="AB123" s="378"/>
    </row>
    <row r="124" spans="3:6" ht="12.75">
      <c r="C124" s="428" t="s">
        <v>358</v>
      </c>
      <c r="E124" s="126"/>
      <c r="F124"/>
    </row>
    <row r="125" spans="8:20" ht="12.75">
      <c r="H125"/>
      <c r="T125" s="368" t="s">
        <v>353</v>
      </c>
    </row>
    <row r="126" spans="20:25" ht="12.75">
      <c r="T126" s="314" t="s">
        <v>205</v>
      </c>
      <c r="U126" s="315"/>
      <c r="V126" s="155" t="s">
        <v>316</v>
      </c>
      <c r="W126" s="155"/>
      <c r="X126" s="155"/>
      <c r="Y126" s="156"/>
    </row>
    <row r="127" spans="20:25" ht="12.75">
      <c r="T127" s="316" t="s">
        <v>207</v>
      </c>
      <c r="U127" s="317"/>
      <c r="V127" s="130" t="s">
        <v>318</v>
      </c>
      <c r="W127" s="130"/>
      <c r="X127" s="130"/>
      <c r="Y127" s="158"/>
    </row>
    <row r="128" spans="20:25" ht="12.75">
      <c r="T128" s="316" t="s">
        <v>209</v>
      </c>
      <c r="U128" s="317"/>
      <c r="V128" s="130" t="s">
        <v>317</v>
      </c>
      <c r="W128" s="130"/>
      <c r="X128" s="130"/>
      <c r="Y128" s="158"/>
    </row>
    <row r="129" spans="5:25" ht="12.75">
      <c r="E129" s="411"/>
      <c r="T129" s="316" t="s">
        <v>211</v>
      </c>
      <c r="U129" s="317" t="str">
        <f>'FieldForm-Side1'!$D$65</f>
        <v>n</v>
      </c>
      <c r="V129" s="130" t="s">
        <v>319</v>
      </c>
      <c r="W129" s="130"/>
      <c r="X129" s="130"/>
      <c r="Y129" s="158"/>
    </row>
    <row r="130" spans="20:25" ht="12.75">
      <c r="T130" s="316" t="s">
        <v>217</v>
      </c>
      <c r="U130" s="317"/>
      <c r="V130" s="130" t="s">
        <v>320</v>
      </c>
      <c r="W130" s="130"/>
      <c r="X130" s="130"/>
      <c r="Y130" s="158"/>
    </row>
    <row r="131" spans="20:25" ht="12.75">
      <c r="T131" s="316" t="s">
        <v>137</v>
      </c>
      <c r="U131" s="317"/>
      <c r="V131" s="130" t="s">
        <v>317</v>
      </c>
      <c r="W131" s="130"/>
      <c r="X131" s="130"/>
      <c r="Y131" s="158"/>
    </row>
    <row r="132" spans="20:25" ht="12.75">
      <c r="T132" s="316" t="s">
        <v>174</v>
      </c>
      <c r="U132" s="317"/>
      <c r="V132" s="130" t="s">
        <v>318</v>
      </c>
      <c r="W132" s="130"/>
      <c r="X132" s="130"/>
      <c r="Y132" s="158"/>
    </row>
    <row r="133" spans="20:25" ht="12.75">
      <c r="T133" s="316" t="s">
        <v>218</v>
      </c>
      <c r="U133" s="317">
        <f>$D$47</f>
        <v>0</v>
      </c>
      <c r="V133" s="130" t="s">
        <v>321</v>
      </c>
      <c r="W133" s="130"/>
      <c r="X133" s="130"/>
      <c r="Y133" s="158"/>
    </row>
    <row r="134" spans="10:25" ht="12.75">
      <c r="J134" s="409"/>
      <c r="T134" s="316" t="s">
        <v>222</v>
      </c>
      <c r="U134" s="317" t="str">
        <f>$E$120</f>
        <v>recharge</v>
      </c>
      <c r="V134" s="130" t="s">
        <v>322</v>
      </c>
      <c r="W134" s="130"/>
      <c r="X134" s="130"/>
      <c r="Y134" s="158"/>
    </row>
    <row r="135" spans="20:25" ht="12.75">
      <c r="T135" s="316" t="s">
        <v>223</v>
      </c>
      <c r="U135" s="317" t="str">
        <f>$E$120</f>
        <v>recharge</v>
      </c>
      <c r="V135" s="130" t="s">
        <v>323</v>
      </c>
      <c r="W135" s="130"/>
      <c r="X135" s="130"/>
      <c r="Y135" s="158"/>
    </row>
    <row r="136" spans="20:25" ht="12.75">
      <c r="T136" s="318" t="s">
        <v>225</v>
      </c>
      <c r="U136" s="319"/>
      <c r="V136" s="160" t="s">
        <v>317</v>
      </c>
      <c r="W136" s="160"/>
      <c r="X136" s="160"/>
      <c r="Y136" s="161"/>
    </row>
    <row r="137" spans="23:24" ht="12.75">
      <c r="W137"/>
      <c r="X137"/>
    </row>
    <row r="138" spans="20:23" ht="12.75">
      <c r="T138" s="203" t="s">
        <v>336</v>
      </c>
      <c r="U138"/>
      <c r="W138"/>
    </row>
    <row r="139" spans="20:21" ht="12.75">
      <c r="T139" s="154" t="s">
        <v>177</v>
      </c>
      <c r="U139" s="156">
        <v>0.1</v>
      </c>
    </row>
    <row r="140" spans="20:21" ht="12.75">
      <c r="T140" s="157" t="s">
        <v>325</v>
      </c>
      <c r="U140" s="158">
        <v>1</v>
      </c>
    </row>
    <row r="141" spans="20:21" ht="12.75">
      <c r="T141" s="159" t="s">
        <v>138</v>
      </c>
      <c r="U141" s="161" t="s">
        <v>360</v>
      </c>
    </row>
  </sheetData>
  <sheetProtection/>
  <mergeCells count="15">
    <mergeCell ref="A76:A87"/>
    <mergeCell ref="A39:A69"/>
    <mergeCell ref="A7:A37"/>
    <mergeCell ref="S4:Y5"/>
    <mergeCell ref="D3:D4"/>
    <mergeCell ref="T59:V61"/>
    <mergeCell ref="T45:V47"/>
    <mergeCell ref="T8:W9"/>
    <mergeCell ref="F83:H83"/>
    <mergeCell ref="E94:E95"/>
    <mergeCell ref="F93:F95"/>
    <mergeCell ref="T120:Z121"/>
    <mergeCell ref="A96:A113"/>
    <mergeCell ref="T109:Z110"/>
    <mergeCell ref="D94:D95"/>
  </mergeCells>
  <printOptions headings="1" horizontalCentered="1"/>
  <pageMargins left="0.25" right="0.25" top="0.5" bottom="0.5" header="0.25" footer="0.25"/>
  <pageSetup horizontalDpi="600" verticalDpi="600" orientation="portrait" scale="80" r:id="rId2"/>
  <headerFooter alignWithMargins="0">
    <oddHeader>&amp;CMnRAM_3.2_Score_Sheet.xls</oddHeader>
    <oddFooter>&amp;L&amp;F&amp;C&amp;P&amp;R&amp;D</oddFooter>
  </headerFooter>
  <rowBreaks count="1" manualBreakCount="1">
    <brk id="71" max="255" man="1"/>
  </rowBreaks>
  <ignoredErrors>
    <ignoredError sqref="E62 E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Jacobson</dc:creator>
  <cp:keywords/>
  <dc:description/>
  <cp:lastModifiedBy>State Of Minnesota</cp:lastModifiedBy>
  <cp:lastPrinted>2008-06-03T18:18:17Z</cp:lastPrinted>
  <dcterms:created xsi:type="dcterms:W3CDTF">2001-04-16T03:31:34Z</dcterms:created>
  <dcterms:modified xsi:type="dcterms:W3CDTF">2017-08-21T18:27:24Z</dcterms:modified>
  <cp:category/>
  <cp:version/>
  <cp:contentType/>
  <cp:contentStatus/>
</cp:coreProperties>
</file>