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G:\Local Water Mgmt\Reporting and Outcomes\BWSR Estimators\1) BWSR Estimator Spreadsheet\3) 2021 Update v2_1\"/>
    </mc:Choice>
  </mc:AlternateContent>
  <xr:revisionPtr revIDLastSave="0" documentId="13_ncr:1_{DAC43FB5-A92F-4819-A6C6-26A022017AEF}" xr6:coauthVersionLast="46" xr6:coauthVersionMax="46" xr10:uidLastSave="{00000000-0000-0000-0000-000000000000}"/>
  <bookViews>
    <workbookView xWindow="6060" yWindow="2085" windowWidth="22365" windowHeight="12705" tabRatio="856" xr2:uid="{00000000-000D-0000-FFFF-FFFF00000000}"/>
  </bookViews>
  <sheets>
    <sheet name="Sheet&amp;Rill" sheetId="1" r:id="rId1"/>
    <sheet name="Gully" sheetId="2" r:id="rId2"/>
    <sheet name="Stream&amp;Ditch" sheetId="3" r:id="rId3"/>
    <sheet name="Filter Strip" sheetId="4" r:id="rId4"/>
    <sheet name="a) Appropriate Use" sheetId="8" r:id="rId5"/>
    <sheet name="b) Volume Voided Calculator" sheetId="7" r:id="rId6"/>
    <sheet name="c) Notes" sheetId="6" r:id="rId7"/>
    <sheet name="Look Up" sheetId="5" state="hidden" r:id="rId8"/>
  </sheets>
  <definedNames>
    <definedName name="channel">'Look Up'!$D$2:$D$4</definedName>
    <definedName name="duration">'Look Up'!$C$2:$C$9</definedName>
    <definedName name="Soilnumber">'Look Up'!$B$2:$B$5</definedName>
    <definedName name="YN">'Look Up'!$A$2:$A$3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7" l="1"/>
  <c r="E22" i="7"/>
  <c r="E23" i="7"/>
  <c r="E24" i="7"/>
  <c r="E25" i="7"/>
  <c r="F13" i="7"/>
  <c r="F14" i="7"/>
  <c r="F15" i="7"/>
  <c r="F16" i="7"/>
  <c r="F12" i="7"/>
  <c r="E4" i="7"/>
  <c r="E5" i="7"/>
  <c r="E6" i="7"/>
  <c r="E7" i="7"/>
  <c r="E3" i="7"/>
  <c r="B15" i="4"/>
  <c r="Q31" i="4" s="1"/>
  <c r="A41" i="4"/>
  <c r="A28" i="2"/>
  <c r="G7" i="1"/>
  <c r="E11" i="1"/>
  <c r="E7" i="1" s="1"/>
  <c r="B15" i="1"/>
  <c r="B19" i="1"/>
  <c r="N33" i="1" s="1"/>
  <c r="H19" i="4"/>
  <c r="H5" i="4" s="1"/>
  <c r="K30" i="4"/>
  <c r="G35" i="4"/>
  <c r="G39" i="4" s="1"/>
  <c r="H46" i="4" s="1"/>
  <c r="N16" i="4"/>
  <c r="N15" i="4" s="1"/>
  <c r="N14" i="4" s="1"/>
  <c r="N21" i="4"/>
  <c r="N20" i="4"/>
  <c r="N19" i="4" s="1"/>
  <c r="M37" i="4"/>
  <c r="M36" i="4" s="1"/>
  <c r="M35" i="4" s="1"/>
  <c r="M42" i="4"/>
  <c r="M41" i="4" s="1"/>
  <c r="M40" i="4" s="1"/>
  <c r="G30" i="4"/>
  <c r="I22" i="2"/>
  <c r="G5" i="2"/>
  <c r="G4" i="2" s="1"/>
  <c r="G3" i="2" s="1"/>
  <c r="E3" i="2" s="1"/>
  <c r="E4" i="2" s="1"/>
  <c r="H9" i="2" s="1"/>
  <c r="I24" i="2"/>
  <c r="I23" i="2" s="1"/>
  <c r="I19" i="2" s="1"/>
  <c r="M5" i="2"/>
  <c r="M4" i="2" s="1"/>
  <c r="M3" i="2" s="1"/>
  <c r="K3" i="2" s="1"/>
  <c r="O18" i="1"/>
  <c r="O17" i="1" s="1"/>
  <c r="O13" i="1"/>
  <c r="O12" i="1" s="1"/>
  <c r="G5" i="3"/>
  <c r="G4" i="3" s="1"/>
  <c r="G3" i="3" s="1"/>
  <c r="E3" i="3" s="1"/>
  <c r="E4" i="3" s="1"/>
  <c r="H9" i="3" s="1"/>
  <c r="M5" i="3"/>
  <c r="M4" i="3" s="1"/>
  <c r="M3" i="3" s="1"/>
  <c r="K3" i="3" s="1"/>
  <c r="E26" i="7" l="1"/>
  <c r="E8" i="7"/>
  <c r="F17" i="7"/>
  <c r="N13" i="4"/>
  <c r="L14" i="4" s="1"/>
  <c r="L24" i="4" s="1"/>
  <c r="M7" i="4"/>
  <c r="Q35" i="4" s="1"/>
  <c r="S17" i="4" s="1"/>
  <c r="B23" i="4"/>
  <c r="S19" i="4" s="1"/>
  <c r="H10" i="4"/>
  <c r="N18" i="4" s="1"/>
  <c r="L19" i="4" s="1"/>
  <c r="M39" i="4"/>
  <c r="K40" i="4" s="1"/>
  <c r="J7" i="1"/>
  <c r="M34" i="4"/>
  <c r="K35" i="4" s="1"/>
  <c r="E3" i="1"/>
  <c r="J3" i="1" s="1"/>
  <c r="O11" i="1" s="1"/>
  <c r="O10" i="1" s="1"/>
  <c r="M11" i="1" s="1"/>
  <c r="K9" i="3"/>
  <c r="L24" i="3"/>
  <c r="N30" i="2"/>
  <c r="K9" i="2"/>
  <c r="O16" i="1"/>
  <c r="O15" i="1" s="1"/>
  <c r="N6" i="1" l="1"/>
  <c r="N31" i="1" s="1"/>
  <c r="M46" i="4"/>
  <c r="Q40" i="4" s="1"/>
  <c r="S21" i="4" s="1"/>
  <c r="L22" i="3"/>
  <c r="L15" i="3"/>
  <c r="L26" i="3" s="1"/>
  <c r="N28" i="2"/>
  <c r="L15" i="2"/>
  <c r="N32" i="2" s="1"/>
  <c r="M16" i="1"/>
  <c r="M23" i="1" s="1"/>
  <c r="N35" i="1" s="1"/>
</calcChain>
</file>

<file path=xl/sharedStrings.xml><?xml version="1.0" encoding="utf-8"?>
<sst xmlns="http://schemas.openxmlformats.org/spreadsheetml/2006/main" count="299" uniqueCount="210">
  <si>
    <t>Soil Loss Before per acre</t>
  </si>
  <si>
    <t>(T/Ac/yr)</t>
  </si>
  <si>
    <r>
      <t>SLB</t>
    </r>
    <r>
      <rPr>
        <vertAlign val="subscript"/>
        <sz val="10"/>
        <rFont val="Arial"/>
        <family val="2"/>
      </rPr>
      <t>PA</t>
    </r>
  </si>
  <si>
    <t>Soil Loss After per acre</t>
  </si>
  <si>
    <r>
      <t>SLA</t>
    </r>
    <r>
      <rPr>
        <vertAlign val="subscript"/>
        <sz val="10"/>
        <rFont val="Arial"/>
        <family val="2"/>
      </rPr>
      <t>PA</t>
    </r>
  </si>
  <si>
    <t>D</t>
  </si>
  <si>
    <t>distance to surface water</t>
  </si>
  <si>
    <t>&gt;&gt;&gt;&gt;</t>
  </si>
  <si>
    <t>AC = units applied (acres)</t>
  </si>
  <si>
    <t>CA = contributing acres (acres)</t>
  </si>
  <si>
    <t>SDR</t>
  </si>
  <si>
    <t xml:space="preserve"> </t>
  </si>
  <si>
    <t xml:space="preserve"> SEDB0pa (T/A/Y)</t>
  </si>
  <si>
    <t>SEDA0pa (T/A/Y)</t>
  </si>
  <si>
    <t>(feet)</t>
  </si>
  <si>
    <t>SLRpa</t>
  </si>
  <si>
    <t>Soil Loss Reduction per acre</t>
  </si>
  <si>
    <t>= SLBpa- SLApa (T/Ac/yr)</t>
  </si>
  <si>
    <t>SLR = (SLRpa)(Ac)</t>
  </si>
  <si>
    <t xml:space="preserve"> Soil Loss Reduction (T/yr) </t>
  </si>
  <si>
    <t>before installation</t>
  </si>
  <si>
    <t>Filter Strip present</t>
  </si>
  <si>
    <t>Y/N</t>
  </si>
  <si>
    <t>Filter</t>
  </si>
  <si>
    <t>Strip</t>
  </si>
  <si>
    <t>Factor</t>
  </si>
  <si>
    <t>sed after /acre</t>
  </si>
  <si>
    <t>sed before/ acre</t>
  </si>
  <si>
    <t>SEDBpa</t>
  </si>
  <si>
    <t>SEDApa</t>
  </si>
  <si>
    <r>
      <t xml:space="preserve"> = SLB</t>
    </r>
    <r>
      <rPr>
        <vertAlign val="subscript"/>
        <sz val="8"/>
        <rFont val="Arial"/>
        <family val="2"/>
      </rPr>
      <t xml:space="preserve">PA </t>
    </r>
    <r>
      <rPr>
        <sz val="8"/>
        <rFont val="Arial"/>
        <family val="2"/>
      </rPr>
      <t xml:space="preserve">* SDR </t>
    </r>
  </si>
  <si>
    <r>
      <t xml:space="preserve">  = SLA</t>
    </r>
    <r>
      <rPr>
        <vertAlign val="subscript"/>
        <sz val="8"/>
        <rFont val="Arial"/>
        <family val="2"/>
      </rPr>
      <t>PA</t>
    </r>
    <r>
      <rPr>
        <sz val="8"/>
        <rFont val="Arial"/>
        <family val="2"/>
      </rPr>
      <t xml:space="preserve"> * SDR</t>
    </r>
  </si>
  <si>
    <t xml:space="preserve"> =FS * SEDB0pa </t>
  </si>
  <si>
    <t>(T/A/Y)</t>
  </si>
  <si>
    <t xml:space="preserve"> = FS * SEDA0pa</t>
  </si>
  <si>
    <t xml:space="preserve">SEDR </t>
  </si>
  <si>
    <t xml:space="preserve"> = (SEDBpa-SEDApa)*CA</t>
  </si>
  <si>
    <t>(lbs/A/yr)</t>
  </si>
  <si>
    <t xml:space="preserve">PApa </t>
  </si>
  <si>
    <t>PBpa</t>
  </si>
  <si>
    <t>Pbefore/acre</t>
  </si>
  <si>
    <t>P after/acre</t>
  </si>
  <si>
    <t>P reduction (lbs/yr)</t>
  </si>
  <si>
    <t>PR</t>
  </si>
  <si>
    <t xml:space="preserve">  = (PBpa - PApa)*CA</t>
  </si>
  <si>
    <t>SOIL = sand (1), silt (2), clay(3), Peat(4)</t>
  </si>
  <si>
    <r>
      <t>tons/ft</t>
    </r>
    <r>
      <rPr>
        <vertAlign val="superscript"/>
        <sz val="10"/>
        <rFont val="Arial"/>
        <family val="2"/>
      </rPr>
      <t>3</t>
    </r>
  </si>
  <si>
    <t>VOLV</t>
  </si>
  <si>
    <t>volume voided (ft3)</t>
  </si>
  <si>
    <t xml:space="preserve">SOIL = </t>
  </si>
  <si>
    <t>sand (1), silt (2)</t>
  </si>
  <si>
    <t>clay(3), peat(4)</t>
  </si>
  <si>
    <t>YR</t>
  </si>
  <si>
    <t>number of  years</t>
  </si>
  <si>
    <t>Soil Loss Before (Tons/yr)</t>
  </si>
  <si>
    <t xml:space="preserve"> (Tons/yr)</t>
  </si>
  <si>
    <t>SD SOIL density</t>
  </si>
  <si>
    <r>
      <t>lbs/ft</t>
    </r>
    <r>
      <rPr>
        <vertAlign val="superscript"/>
        <sz val="10"/>
        <rFont val="Arial"/>
        <family val="2"/>
      </rPr>
      <t xml:space="preserve">3 </t>
    </r>
  </si>
  <si>
    <t xml:space="preserve"> =</t>
  </si>
  <si>
    <r>
      <t>SLR</t>
    </r>
    <r>
      <rPr>
        <sz val="10"/>
        <rFont val="Arial"/>
        <family val="2"/>
      </rPr>
      <t xml:space="preserve"> Soil Loss Reduction</t>
    </r>
  </si>
  <si>
    <t>D distance to</t>
  </si>
  <si>
    <t>surface water</t>
  </si>
  <si>
    <t>Gully conditions</t>
  </si>
  <si>
    <t>channelized (1)</t>
  </si>
  <si>
    <t>landlocked (3)</t>
  </si>
  <si>
    <t>SLB*SDR*FS</t>
  </si>
  <si>
    <t>Tons/yr</t>
  </si>
  <si>
    <t>Sed. Reduction</t>
  </si>
  <si>
    <r>
      <t>SLB</t>
    </r>
    <r>
      <rPr>
        <sz val="10"/>
        <rFont val="Arial"/>
        <family val="2"/>
      </rPr>
      <t xml:space="preserve"> = SD*VOLV/YR</t>
    </r>
  </si>
  <si>
    <t>CF</t>
  </si>
  <si>
    <t>P Correction Factor</t>
  </si>
  <si>
    <t xml:space="preserve">PR = </t>
  </si>
  <si>
    <t>SEDR *(1.0 Lb/Ton)*CF</t>
  </si>
  <si>
    <t>P reduction (Lbs/yr)</t>
  </si>
  <si>
    <t>SEDR =</t>
  </si>
  <si>
    <t xml:space="preserve"> = input</t>
  </si>
  <si>
    <t>Factor (FS)</t>
  </si>
  <si>
    <r>
      <t>volume voided (ft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</si>
  <si>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D = 0</t>
  </si>
  <si>
    <t>SDR =</t>
  </si>
  <si>
    <t>(= SLR)</t>
  </si>
  <si>
    <t>SLB*SDR =SLB * 1</t>
  </si>
  <si>
    <t xml:space="preserve">Soil Loss Before </t>
  </si>
  <si>
    <t>from filter strip area /acre</t>
  </si>
  <si>
    <t>Soil Loss After</t>
  </si>
  <si>
    <t>T/Ac/yr</t>
  </si>
  <si>
    <t>Soil Loss Reduction /acre</t>
  </si>
  <si>
    <t xml:space="preserve"> (acres)</t>
  </si>
  <si>
    <t xml:space="preserve"> Soil Loss Reduction</t>
  </si>
  <si>
    <t xml:space="preserve"> (T/yr) </t>
  </si>
  <si>
    <t>delivery</t>
  </si>
  <si>
    <t>ratio</t>
  </si>
  <si>
    <t>per acre</t>
  </si>
  <si>
    <r>
      <t>SLB</t>
    </r>
    <r>
      <rPr>
        <vertAlign val="subscript"/>
        <sz val="10"/>
        <rFont val="Arial"/>
        <family val="2"/>
      </rPr>
      <t>FSPA</t>
    </r>
    <r>
      <rPr>
        <sz val="10"/>
        <rFont val="Arial"/>
        <family val="2"/>
      </rPr>
      <t xml:space="preserve"> *</t>
    </r>
  </si>
  <si>
    <r>
      <t>SLA</t>
    </r>
    <r>
      <rPr>
        <vertAlign val="subscript"/>
        <sz val="10"/>
        <rFont val="Arial"/>
        <family val="2"/>
      </rPr>
      <t>FSPA</t>
    </r>
    <r>
      <rPr>
        <sz val="10"/>
        <rFont val="Arial"/>
        <family val="2"/>
      </rPr>
      <t xml:space="preserve"> *</t>
    </r>
  </si>
  <si>
    <r>
      <t>SLB</t>
    </r>
    <r>
      <rPr>
        <vertAlign val="subscript"/>
        <sz val="10"/>
        <rFont val="Arial"/>
        <family val="2"/>
      </rPr>
      <t>FSpa</t>
    </r>
    <r>
      <rPr>
        <sz val="10"/>
        <rFont val="Arial"/>
        <family val="2"/>
      </rPr>
      <t>- SLA</t>
    </r>
    <r>
      <rPr>
        <vertAlign val="subscript"/>
        <sz val="10"/>
        <rFont val="Arial"/>
        <family val="2"/>
      </rPr>
      <t>FSpa</t>
    </r>
  </si>
  <si>
    <r>
      <t xml:space="preserve"> SDR</t>
    </r>
    <r>
      <rPr>
        <vertAlign val="subscript"/>
        <sz val="10"/>
        <rFont val="Arial"/>
        <family val="2"/>
      </rPr>
      <t>FS</t>
    </r>
    <r>
      <rPr>
        <sz val="10"/>
        <rFont val="Arial"/>
        <family val="2"/>
      </rPr>
      <t xml:space="preserve"> = </t>
    </r>
  </si>
  <si>
    <r>
      <t xml:space="preserve"> SDR</t>
    </r>
    <r>
      <rPr>
        <vertAlign val="subscript"/>
        <sz val="10"/>
        <rFont val="Arial"/>
        <family val="2"/>
      </rPr>
      <t>FS</t>
    </r>
    <r>
      <rPr>
        <sz val="10"/>
        <rFont val="Arial"/>
        <family val="2"/>
      </rPr>
      <t xml:space="preserve"> = </t>
    </r>
  </si>
  <si>
    <t xml:space="preserve">WFS </t>
  </si>
  <si>
    <t>filter strip width</t>
  </si>
  <si>
    <t>SDR estimator using 1/2 filter strip width</t>
  </si>
  <si>
    <t>sed before</t>
  </si>
  <si>
    <t>sed after</t>
  </si>
  <si>
    <r>
      <t>SDR</t>
    </r>
    <r>
      <rPr>
        <b/>
        <vertAlign val="subscript"/>
        <sz val="10"/>
        <rFont val="Arial"/>
        <family val="2"/>
      </rPr>
      <t xml:space="preserve">FS </t>
    </r>
  </si>
  <si>
    <r>
      <t>SLA</t>
    </r>
    <r>
      <rPr>
        <b/>
        <vertAlign val="subscript"/>
        <sz val="10"/>
        <rFont val="Arial"/>
        <family val="2"/>
      </rPr>
      <t>FSpa</t>
    </r>
  </si>
  <si>
    <r>
      <t>SLB</t>
    </r>
    <r>
      <rPr>
        <b/>
        <vertAlign val="subscript"/>
        <sz val="10"/>
        <rFont val="Arial"/>
        <family val="2"/>
      </rPr>
      <t>FSpa</t>
    </r>
  </si>
  <si>
    <r>
      <t>SLR</t>
    </r>
    <r>
      <rPr>
        <b/>
        <vertAlign val="subscript"/>
        <sz val="10"/>
        <rFont val="Arial"/>
        <family val="2"/>
      </rPr>
      <t>FSpa</t>
    </r>
  </si>
  <si>
    <r>
      <t>AFS</t>
    </r>
    <r>
      <rPr>
        <sz val="10"/>
        <rFont val="Arial"/>
        <family val="2"/>
      </rPr>
      <t xml:space="preserve"> = area of filter strip</t>
    </r>
  </si>
  <si>
    <t>From Filter Strip area</t>
  </si>
  <si>
    <r>
      <t>SLR</t>
    </r>
    <r>
      <rPr>
        <b/>
        <vertAlign val="subscript"/>
        <sz val="10"/>
        <rFont val="Arial"/>
        <family val="2"/>
      </rPr>
      <t>FS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= (SLR</t>
    </r>
    <r>
      <rPr>
        <vertAlign val="subscript"/>
        <sz val="10"/>
        <rFont val="Arial"/>
        <family val="2"/>
      </rPr>
      <t>FSpa</t>
    </r>
    <r>
      <rPr>
        <sz val="10"/>
        <rFont val="Arial"/>
        <family val="2"/>
      </rPr>
      <t>)(AFS)</t>
    </r>
  </si>
  <si>
    <r>
      <t>(SEDB</t>
    </r>
    <r>
      <rPr>
        <vertAlign val="subscript"/>
        <sz val="10"/>
        <rFont val="Arial"/>
        <family val="2"/>
      </rPr>
      <t>FSpa</t>
    </r>
    <r>
      <rPr>
        <sz val="10"/>
        <rFont val="Arial"/>
        <family val="2"/>
      </rPr>
      <t xml:space="preserve"> - SEDA</t>
    </r>
    <r>
      <rPr>
        <vertAlign val="subscript"/>
        <sz val="10"/>
        <rFont val="Arial"/>
        <family val="2"/>
      </rPr>
      <t>FSpa</t>
    </r>
    <r>
      <rPr>
        <sz val="10"/>
        <rFont val="Arial"/>
        <family val="2"/>
      </rPr>
      <t>)*AFS</t>
    </r>
  </si>
  <si>
    <r>
      <t>SEDR</t>
    </r>
    <r>
      <rPr>
        <b/>
        <vertAlign val="subscript"/>
        <sz val="10"/>
        <rFont val="Arial"/>
        <family val="2"/>
      </rPr>
      <t xml:space="preserve">FS </t>
    </r>
  </si>
  <si>
    <t>sediment reduction</t>
  </si>
  <si>
    <t xml:space="preserve"> (T/yr)</t>
  </si>
  <si>
    <r>
      <t>PB</t>
    </r>
    <r>
      <rPr>
        <b/>
        <vertAlign val="subscript"/>
        <sz val="10"/>
        <rFont val="Arial"/>
        <family val="2"/>
      </rPr>
      <t>pa</t>
    </r>
  </si>
  <si>
    <r>
      <t>PA</t>
    </r>
    <r>
      <rPr>
        <b/>
        <vertAlign val="subscript"/>
        <sz val="10"/>
        <rFont val="Arial"/>
        <family val="2"/>
      </rPr>
      <t>pa</t>
    </r>
    <r>
      <rPr>
        <b/>
        <sz val="10"/>
        <rFont val="Arial"/>
        <family val="2"/>
      </rPr>
      <t xml:space="preserve"> </t>
    </r>
  </si>
  <si>
    <r>
      <t>(PB</t>
    </r>
    <r>
      <rPr>
        <vertAlign val="subscript"/>
        <sz val="10"/>
        <rFont val="Arial"/>
        <family val="2"/>
      </rPr>
      <t>FSpa</t>
    </r>
    <r>
      <rPr>
        <sz val="10"/>
        <rFont val="Arial"/>
        <family val="2"/>
      </rPr>
      <t xml:space="preserve"> - PA</t>
    </r>
    <r>
      <rPr>
        <vertAlign val="subscript"/>
        <sz val="10"/>
        <rFont val="Arial"/>
        <family val="2"/>
      </rPr>
      <t>FSpa</t>
    </r>
    <r>
      <rPr>
        <sz val="10"/>
        <rFont val="Arial"/>
        <family val="2"/>
      </rPr>
      <t>)*AFS</t>
    </r>
  </si>
  <si>
    <t>P reduction</t>
  </si>
  <si>
    <t xml:space="preserve"> (lbs/yr)</t>
  </si>
  <si>
    <r>
      <t>PR</t>
    </r>
    <r>
      <rPr>
        <b/>
        <vertAlign val="subscript"/>
        <sz val="10"/>
        <rFont val="Arial"/>
        <family val="2"/>
      </rPr>
      <t>FS</t>
    </r>
    <r>
      <rPr>
        <b/>
        <sz val="10"/>
        <rFont val="Arial"/>
        <family val="2"/>
      </rPr>
      <t xml:space="preserve"> =</t>
    </r>
  </si>
  <si>
    <t>area contributing to filter strip</t>
  </si>
  <si>
    <t xml:space="preserve">CA = </t>
  </si>
  <si>
    <t xml:space="preserve">Upland Soil Loss Before /acre </t>
  </si>
  <si>
    <r>
      <t>SLB</t>
    </r>
    <r>
      <rPr>
        <b/>
        <vertAlign val="subscript"/>
        <sz val="10"/>
        <rFont val="Arial"/>
        <family val="2"/>
      </rPr>
      <t>UPpa</t>
    </r>
  </si>
  <si>
    <t xml:space="preserve">Upland soil loss treated </t>
  </si>
  <si>
    <t>by filter strip</t>
  </si>
  <si>
    <r>
      <t>SLT</t>
    </r>
    <r>
      <rPr>
        <b/>
        <vertAlign val="subscript"/>
        <sz val="10"/>
        <rFont val="Arial"/>
        <family val="2"/>
      </rPr>
      <t>UP</t>
    </r>
    <r>
      <rPr>
        <sz val="10"/>
        <rFont val="Arial"/>
        <family val="2"/>
      </rPr>
      <t xml:space="preserve"> = SLB</t>
    </r>
    <r>
      <rPr>
        <vertAlign val="subscript"/>
        <sz val="10"/>
        <rFont val="Arial"/>
        <family val="2"/>
      </rPr>
      <t>UPpa</t>
    </r>
    <r>
      <rPr>
        <sz val="10"/>
        <rFont val="Arial"/>
        <family val="2"/>
      </rPr>
      <t>* CA</t>
    </r>
  </si>
  <si>
    <r>
      <t>SDR</t>
    </r>
    <r>
      <rPr>
        <b/>
        <vertAlign val="subscript"/>
        <sz val="10"/>
        <rFont val="Arial"/>
        <family val="2"/>
      </rPr>
      <t xml:space="preserve">UP </t>
    </r>
  </si>
  <si>
    <t>SDR estimator using</t>
  </si>
  <si>
    <t xml:space="preserve"> 1 filter strip width</t>
  </si>
  <si>
    <t>Y or N</t>
  </si>
  <si>
    <t>Filter Strip Channelized</t>
  </si>
  <si>
    <r>
      <t xml:space="preserve">Factor </t>
    </r>
    <r>
      <rPr>
        <b/>
        <sz val="10"/>
        <rFont val="Arial"/>
        <family val="2"/>
      </rPr>
      <t>FS</t>
    </r>
    <r>
      <rPr>
        <b/>
        <vertAlign val="subscript"/>
        <sz val="10"/>
        <rFont val="Arial"/>
        <family val="2"/>
      </rPr>
      <t>C</t>
    </r>
  </si>
  <si>
    <t xml:space="preserve">(T/Ac/yr) </t>
  </si>
  <si>
    <t>upland sed before /acre</t>
  </si>
  <si>
    <t>upland sed after /acre</t>
  </si>
  <si>
    <r>
      <t>SEDB</t>
    </r>
    <r>
      <rPr>
        <vertAlign val="subscript"/>
        <sz val="10"/>
        <rFont val="Arial"/>
        <family val="2"/>
      </rPr>
      <t>UPpa</t>
    </r>
    <r>
      <rPr>
        <sz val="10"/>
        <rFont val="Arial"/>
        <family val="2"/>
      </rPr>
      <t xml:space="preserve">  * FSc </t>
    </r>
  </si>
  <si>
    <r>
      <t>SEDA</t>
    </r>
    <r>
      <rPr>
        <b/>
        <vertAlign val="subscript"/>
        <sz val="10"/>
        <rFont val="Arial"/>
        <family val="2"/>
      </rPr>
      <t>UPpa</t>
    </r>
    <r>
      <rPr>
        <b/>
        <sz val="10"/>
        <rFont val="Arial"/>
        <family val="2"/>
      </rPr>
      <t xml:space="preserve"> = </t>
    </r>
  </si>
  <si>
    <r>
      <t>SLBUPpa * SDR</t>
    </r>
    <r>
      <rPr>
        <vertAlign val="subscript"/>
        <sz val="10"/>
        <rFont val="Arial"/>
        <family val="2"/>
      </rPr>
      <t xml:space="preserve">UP </t>
    </r>
  </si>
  <si>
    <r>
      <t>SEDB</t>
    </r>
    <r>
      <rPr>
        <b/>
        <vertAlign val="subscript"/>
        <sz val="10"/>
        <rFont val="Arial"/>
        <family val="2"/>
      </rPr>
      <t>UPpa</t>
    </r>
    <r>
      <rPr>
        <b/>
        <sz val="10"/>
        <rFont val="Arial"/>
        <family val="2"/>
      </rPr>
      <t xml:space="preserve"> =</t>
    </r>
  </si>
  <si>
    <t>(T/yr)</t>
  </si>
  <si>
    <r>
      <t>(SEDB</t>
    </r>
    <r>
      <rPr>
        <vertAlign val="subscript"/>
        <sz val="10"/>
        <rFont val="Arial"/>
        <family val="2"/>
      </rPr>
      <t>UPpa</t>
    </r>
    <r>
      <rPr>
        <sz val="10"/>
        <rFont val="Arial"/>
        <family val="2"/>
      </rPr>
      <t xml:space="preserve"> - SEDA</t>
    </r>
    <r>
      <rPr>
        <vertAlign val="subscript"/>
        <sz val="10"/>
        <rFont val="Arial"/>
        <family val="2"/>
      </rPr>
      <t>UPpa</t>
    </r>
    <r>
      <rPr>
        <sz val="10"/>
        <rFont val="Arial"/>
        <family val="2"/>
      </rPr>
      <t>) * CA</t>
    </r>
  </si>
  <si>
    <t xml:space="preserve">sed reduction from filter strip </t>
  </si>
  <si>
    <t>treatment of upland runoff</t>
  </si>
  <si>
    <r>
      <t>SEDR</t>
    </r>
    <r>
      <rPr>
        <b/>
        <vertAlign val="subscript"/>
        <sz val="10"/>
        <rFont val="Arial"/>
        <family val="2"/>
      </rPr>
      <t>UP</t>
    </r>
    <r>
      <rPr>
        <b/>
        <sz val="10"/>
        <rFont val="Arial"/>
        <family val="2"/>
      </rPr>
      <t xml:space="preserve"> = </t>
    </r>
  </si>
  <si>
    <t>(lbs/yr)</t>
  </si>
  <si>
    <r>
      <t>(PB</t>
    </r>
    <r>
      <rPr>
        <vertAlign val="subscript"/>
        <sz val="10"/>
        <rFont val="Arial"/>
        <family val="2"/>
      </rPr>
      <t>UPpa</t>
    </r>
    <r>
      <rPr>
        <sz val="10"/>
        <rFont val="Arial"/>
        <family val="2"/>
      </rPr>
      <t xml:space="preserve"> - PA</t>
    </r>
    <r>
      <rPr>
        <vertAlign val="subscript"/>
        <sz val="10"/>
        <rFont val="Arial"/>
        <family val="2"/>
      </rPr>
      <t>UPpa</t>
    </r>
    <r>
      <rPr>
        <sz val="10"/>
        <rFont val="Arial"/>
        <family val="2"/>
      </rPr>
      <t>) * CA</t>
    </r>
  </si>
  <si>
    <r>
      <t>PR</t>
    </r>
    <r>
      <rPr>
        <b/>
        <vertAlign val="subscript"/>
        <sz val="10"/>
        <rFont val="Arial"/>
        <family val="2"/>
      </rPr>
      <t>UP</t>
    </r>
    <r>
      <rPr>
        <b/>
        <sz val="10"/>
        <rFont val="Arial"/>
        <family val="2"/>
      </rPr>
      <t xml:space="preserve"> = </t>
    </r>
  </si>
  <si>
    <t xml:space="preserve">P reduction from filter strip </t>
  </si>
  <si>
    <r>
      <t>PB</t>
    </r>
    <r>
      <rPr>
        <b/>
        <vertAlign val="subscript"/>
        <sz val="10"/>
        <rFont val="Arial"/>
        <family val="2"/>
      </rPr>
      <t>UPpa</t>
    </r>
  </si>
  <si>
    <r>
      <t>PA</t>
    </r>
    <r>
      <rPr>
        <b/>
        <vertAlign val="subscript"/>
        <sz val="10"/>
        <rFont val="Arial"/>
        <family val="2"/>
      </rPr>
      <t>UPpa</t>
    </r>
    <r>
      <rPr>
        <b/>
        <sz val="10"/>
        <rFont val="Arial"/>
        <family val="2"/>
      </rPr>
      <t xml:space="preserve"> </t>
    </r>
  </si>
  <si>
    <t>Sediment reduction:</t>
  </si>
  <si>
    <r>
      <t xml:space="preserve"> SEDR</t>
    </r>
    <r>
      <rPr>
        <vertAlign val="subscript"/>
        <sz val="10"/>
        <rFont val="Arial"/>
        <family val="2"/>
      </rPr>
      <t xml:space="preserve">FS </t>
    </r>
    <r>
      <rPr>
        <sz val="10"/>
        <rFont val="Arial"/>
        <family val="2"/>
      </rPr>
      <t>+ SEDR</t>
    </r>
    <r>
      <rPr>
        <vertAlign val="subscript"/>
        <sz val="10"/>
        <rFont val="Arial"/>
        <family val="2"/>
      </rPr>
      <t xml:space="preserve">UP </t>
    </r>
    <r>
      <rPr>
        <sz val="10"/>
        <rFont val="Arial"/>
        <family val="2"/>
      </rPr>
      <t xml:space="preserve"> </t>
    </r>
  </si>
  <si>
    <r>
      <t>PR</t>
    </r>
    <r>
      <rPr>
        <b/>
        <vertAlign val="subscript"/>
        <sz val="10"/>
        <rFont val="Arial"/>
        <family val="2"/>
      </rPr>
      <t>TOT</t>
    </r>
    <r>
      <rPr>
        <b/>
        <sz val="10"/>
        <rFont val="Arial"/>
        <family val="2"/>
      </rPr>
      <t xml:space="preserve">= </t>
    </r>
  </si>
  <si>
    <r>
      <t>SEDR</t>
    </r>
    <r>
      <rPr>
        <b/>
        <vertAlign val="subscript"/>
        <sz val="10"/>
        <rFont val="Arial"/>
        <family val="2"/>
      </rPr>
      <t>TOT</t>
    </r>
    <r>
      <rPr>
        <b/>
        <sz val="10"/>
        <rFont val="Arial"/>
        <family val="2"/>
      </rPr>
      <t xml:space="preserve">  =</t>
    </r>
  </si>
  <si>
    <r>
      <t>PR</t>
    </r>
    <r>
      <rPr>
        <vertAlign val="subscript"/>
        <sz val="10"/>
        <rFont val="Arial"/>
        <family val="2"/>
      </rPr>
      <t>FS</t>
    </r>
    <r>
      <rPr>
        <sz val="10"/>
        <rFont val="Arial"/>
        <family val="2"/>
      </rPr>
      <t xml:space="preserve"> + PR</t>
    </r>
    <r>
      <rPr>
        <vertAlign val="subscript"/>
        <sz val="10"/>
        <rFont val="Arial"/>
        <family val="2"/>
      </rPr>
      <t>UP</t>
    </r>
  </si>
  <si>
    <r>
      <t>SEDB</t>
    </r>
    <r>
      <rPr>
        <b/>
        <vertAlign val="subscript"/>
        <sz val="10"/>
        <rFont val="Arial"/>
        <family val="2"/>
      </rPr>
      <t>FSpa</t>
    </r>
    <r>
      <rPr>
        <b/>
        <sz val="10"/>
        <rFont val="Arial"/>
        <family val="2"/>
      </rPr>
      <t xml:space="preserve"> </t>
    </r>
  </si>
  <si>
    <r>
      <t>SEDA</t>
    </r>
    <r>
      <rPr>
        <b/>
        <vertAlign val="subscript"/>
        <sz val="10"/>
        <rFont val="Arial"/>
        <family val="2"/>
      </rPr>
      <t>FSpa</t>
    </r>
    <r>
      <rPr>
        <b/>
        <sz val="10"/>
        <rFont val="Arial"/>
        <family val="2"/>
      </rPr>
      <t xml:space="preserve">  </t>
    </r>
  </si>
  <si>
    <t>non-channelized (2)</t>
  </si>
  <si>
    <t>filter strip area itself</t>
  </si>
  <si>
    <t>=</t>
  </si>
  <si>
    <t>calculated value</t>
  </si>
  <si>
    <t>SLR Soil Loss Reduction</t>
  </si>
  <si>
    <t>Sediment Reduction</t>
  </si>
  <si>
    <t>result</t>
  </si>
  <si>
    <t>input</t>
  </si>
  <si>
    <t xml:space="preserve"> = calculated value</t>
  </si>
  <si>
    <t xml:space="preserve"> = result</t>
  </si>
  <si>
    <t>current position</t>
  </si>
  <si>
    <t xml:space="preserve">to erode bank to </t>
  </si>
  <si>
    <t>1. Area of Filter Strip Itself</t>
  </si>
  <si>
    <t>2. Filter Strip Treatment of Upland Runoff</t>
  </si>
  <si>
    <t>3. Total Benefits</t>
  </si>
  <si>
    <t xml:space="preserve">From Filter Strip area  (T/yr) </t>
  </si>
  <si>
    <t>Soil Loss Reduction</t>
  </si>
  <si>
    <t>Phosphorus reduction:</t>
  </si>
  <si>
    <t xml:space="preserve"> SEDIMENT (TSS) T/yr:</t>
  </si>
  <si>
    <t xml:space="preserve"> SOIL (estimated savings) T/yr:</t>
  </si>
  <si>
    <t xml:space="preserve"> PHOSPHORUS (est. reduction) lbs/yr:</t>
  </si>
  <si>
    <t>ENTER THIS DATA ON eLINK INDICATORS TAB</t>
  </si>
  <si>
    <t>Is filter strip functioning as designed?</t>
  </si>
  <si>
    <t>Y</t>
  </si>
  <si>
    <t>N</t>
  </si>
  <si>
    <t>SOIL = sand (1), silt (2), clay(3), peat(4)</t>
  </si>
  <si>
    <t>Filter Strip Estimator Version 2.1</t>
  </si>
  <si>
    <t>Sheet &amp; Rill Erosion Control Estimator Version 2.1</t>
  </si>
  <si>
    <t>Gully Stabilization Estimator Version 2.1</t>
  </si>
  <si>
    <t>Stream &amp; Ditch Bank Stabilization Estimator Version 2.1</t>
  </si>
  <si>
    <t>Length (feet)</t>
  </si>
  <si>
    <t xml:space="preserve">Width (feet) </t>
  </si>
  <si>
    <t>Height (feet)</t>
  </si>
  <si>
    <t>Project Number</t>
  </si>
  <si>
    <t>Notes</t>
  </si>
  <si>
    <t>Date</t>
  </si>
  <si>
    <t xml:space="preserve">Add you project notes here. </t>
  </si>
  <si>
    <t>Conversion Factors</t>
  </si>
  <si>
    <t>Units</t>
  </si>
  <si>
    <r>
      <t>Volume (ft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</t>
    </r>
  </si>
  <si>
    <r>
      <t>Cubic Feet (ft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</si>
  <si>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r>
      <t>1 Cubic Yard (yd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</si>
  <si>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1 Cubic Meter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</si>
  <si>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Totals (ft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</t>
    </r>
  </si>
  <si>
    <t>Site or Segment</t>
  </si>
  <si>
    <t>Rectangular Prism Volume V = LWH</t>
  </si>
  <si>
    <t>Top Width A (feet)</t>
  </si>
  <si>
    <t>Bottom Width B (feet)</t>
  </si>
  <si>
    <r>
      <t>Volume (ft</t>
    </r>
    <r>
      <rPr>
        <b/>
        <vertAlign val="superscript"/>
        <sz val="12"/>
        <color theme="0"/>
        <rFont val="Arial"/>
        <family val="2"/>
      </rPr>
      <t>3</t>
    </r>
    <r>
      <rPr>
        <b/>
        <sz val="12"/>
        <color theme="0"/>
        <rFont val="Arial"/>
        <family val="2"/>
      </rPr>
      <t>)</t>
    </r>
  </si>
  <si>
    <t>Width (feet)</t>
  </si>
  <si>
    <t>Triangular Prism Volume V = LHW/2</t>
  </si>
  <si>
    <t>Trapezoidal Prism Volume  V =LH(A + B )/2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</si>
</sst>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mmmm\ d\,\ yyyy;@"/>
  </numFmts>
  <fonts count="22" x14ac:knownFonts="1">
    <font>
      <sz val="10"/>
      <name val="Arial"/>
    </font>
    <font>
      <vertAlign val="subscript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vertAlign val="subscript"/>
      <sz val="8"/>
      <name val="Arial"/>
      <family val="2"/>
    </font>
    <font>
      <vertAlign val="superscript"/>
      <sz val="10"/>
      <name val="Arial"/>
      <family val="2"/>
    </font>
    <font>
      <sz val="8"/>
      <name val="Arial Narrow"/>
      <family val="2"/>
    </font>
    <font>
      <sz val="6"/>
      <name val="Arial Narrow"/>
      <family val="2"/>
    </font>
    <font>
      <b/>
      <vertAlign val="subscript"/>
      <sz val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vertAlign val="superscript"/>
      <sz val="12"/>
      <color theme="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</fills>
  <borders count="84">
    <border>
      <left/>
      <right/>
      <top/>
      <bottom/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slantDashDot">
        <color indexed="64"/>
      </left>
      <right style="medium">
        <color indexed="64"/>
      </right>
      <top style="slantDashDot">
        <color indexed="64"/>
      </top>
      <bottom style="slantDashDot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slantDashDot">
        <color indexed="64"/>
      </left>
      <right style="thin">
        <color indexed="64"/>
      </right>
      <top style="slantDashDot">
        <color indexed="64"/>
      </top>
      <bottom style="slantDashDot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slantDashDot">
        <color indexed="64"/>
      </top>
      <bottom/>
      <diagonal/>
    </border>
    <border>
      <left style="slantDashDot">
        <color indexed="12"/>
      </left>
      <right style="slantDashDot">
        <color indexed="12"/>
      </right>
      <top style="slantDashDot">
        <color indexed="12"/>
      </top>
      <bottom style="slantDashDot">
        <color indexed="12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slantDashDot">
        <color indexed="64"/>
      </left>
      <right style="slantDashDot">
        <color indexed="64"/>
      </right>
      <top/>
      <bottom style="slantDashDot">
        <color indexed="64"/>
      </bottom>
      <diagonal/>
    </border>
    <border>
      <left style="mediumDashed">
        <color indexed="64"/>
      </left>
      <right style="mediumDashed">
        <color indexed="64"/>
      </right>
      <top/>
      <bottom style="mediumDashed">
        <color indexed="64"/>
      </bottom>
      <diagonal/>
    </border>
    <border>
      <left/>
      <right/>
      <top style="slantDashDot">
        <color indexed="12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mediumDashDot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/>
      <diagonal/>
    </border>
    <border>
      <left/>
      <right/>
      <top/>
      <bottom style="thick">
        <color indexed="10"/>
      </bottom>
      <diagonal/>
    </border>
    <border>
      <left style="thick">
        <color indexed="1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n">
        <color indexed="64"/>
      </top>
      <bottom style="thick">
        <color indexed="10"/>
      </bottom>
      <diagonal/>
    </border>
    <border>
      <left/>
      <right/>
      <top style="thin">
        <color indexed="64"/>
      </top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0"/>
      </right>
      <top style="thin">
        <color indexed="64"/>
      </top>
      <bottom style="thick">
        <color indexed="10"/>
      </bottom>
      <diagonal/>
    </border>
    <border>
      <left style="slantDashDot">
        <color indexed="63"/>
      </left>
      <right style="slantDashDot">
        <color indexed="63"/>
      </right>
      <top style="slantDashDot">
        <color indexed="63"/>
      </top>
      <bottom style="slantDashDot">
        <color indexed="63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10"/>
      </bottom>
      <diagonal/>
    </border>
    <border>
      <left style="thin">
        <color indexed="64"/>
      </left>
      <right/>
      <top style="thin">
        <color indexed="64"/>
      </top>
      <bottom style="thick">
        <color indexed="10"/>
      </bottom>
      <diagonal/>
    </border>
    <border>
      <left/>
      <right style="thick">
        <color indexed="10"/>
      </right>
      <top style="thin">
        <color indexed="64"/>
      </top>
      <bottom style="thick">
        <color indexed="10"/>
      </bottom>
      <diagonal/>
    </border>
    <border>
      <left style="slantDashDot">
        <color indexed="12"/>
      </left>
      <right/>
      <top/>
      <bottom/>
      <diagonal/>
    </border>
    <border>
      <left style="thick">
        <color indexed="10"/>
      </left>
      <right/>
      <top style="thick">
        <color indexed="10"/>
      </top>
      <bottom style="thin">
        <color indexed="64"/>
      </bottom>
      <diagonal/>
    </border>
    <border>
      <left/>
      <right/>
      <top style="thick">
        <color indexed="10"/>
      </top>
      <bottom style="thin">
        <color indexed="64"/>
      </bottom>
      <diagonal/>
    </border>
    <border>
      <left/>
      <right style="thick">
        <color indexed="10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 style="slantDashDot">
        <color indexed="12"/>
      </right>
      <top style="slantDashDot">
        <color indexed="12"/>
      </top>
      <bottom style="slantDashDot">
        <color indexed="12"/>
      </bottom>
      <diagonal/>
    </border>
    <border>
      <left style="thin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0" fillId="0" borderId="1" xfId="0" applyFill="1" applyBorder="1"/>
    <xf numFmtId="0" fontId="0" fillId="0" borderId="0" xfId="0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0" xfId="0" applyFill="1" applyBorder="1"/>
    <xf numFmtId="0" fontId="3" fillId="2" borderId="7" xfId="0" applyFont="1" applyFill="1" applyBorder="1"/>
    <xf numFmtId="0" fontId="0" fillId="2" borderId="8" xfId="0" applyFill="1" applyBorder="1"/>
    <xf numFmtId="0" fontId="3" fillId="2" borderId="9" xfId="0" applyFon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4" xfId="0" applyFill="1" applyBorder="1" applyAlignment="1">
      <alignment horizontal="right"/>
    </xf>
    <xf numFmtId="0" fontId="0" fillId="0" borderId="0" xfId="0" applyBorder="1"/>
    <xf numFmtId="0" fontId="0" fillId="2" borderId="12" xfId="0" applyFill="1" applyBorder="1" applyAlignment="1">
      <alignment horizontal="right"/>
    </xf>
    <xf numFmtId="0" fontId="0" fillId="0" borderId="9" xfId="0" applyBorder="1"/>
    <xf numFmtId="0" fontId="0" fillId="2" borderId="13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5" fillId="2" borderId="9" xfId="0" applyFont="1" applyFill="1" applyBorder="1" applyAlignment="1">
      <alignment horizontal="right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5" fillId="2" borderId="4" xfId="0" applyFont="1" applyFill="1" applyBorder="1"/>
    <xf numFmtId="0" fontId="0" fillId="0" borderId="4" xfId="0" applyBorder="1"/>
    <xf numFmtId="2" fontId="0" fillId="0" borderId="0" xfId="0" applyNumberFormat="1"/>
    <xf numFmtId="2" fontId="0" fillId="2" borderId="8" xfId="0" applyNumberFormat="1" applyFill="1" applyBorder="1"/>
    <xf numFmtId="2" fontId="0" fillId="0" borderId="17" xfId="0" applyNumberFormat="1" applyFill="1" applyBorder="1"/>
    <xf numFmtId="2" fontId="0" fillId="2" borderId="18" xfId="0" applyNumberFormat="1" applyFill="1" applyBorder="1"/>
    <xf numFmtId="2" fontId="0" fillId="0" borderId="19" xfId="0" applyNumberFormat="1" applyBorder="1"/>
    <xf numFmtId="2" fontId="0" fillId="2" borderId="20" xfId="0" applyNumberFormat="1" applyFill="1" applyBorder="1"/>
    <xf numFmtId="2" fontId="0" fillId="2" borderId="11" xfId="0" applyNumberFormat="1" applyFill="1" applyBorder="1"/>
    <xf numFmtId="2" fontId="0" fillId="2" borderId="3" xfId="0" applyNumberFormat="1" applyFill="1" applyBorder="1"/>
    <xf numFmtId="2" fontId="0" fillId="0" borderId="21" xfId="0" applyNumberFormat="1" applyFill="1" applyBorder="1"/>
    <xf numFmtId="2" fontId="0" fillId="2" borderId="6" xfId="0" applyNumberFormat="1" applyFill="1" applyBorder="1"/>
    <xf numFmtId="2" fontId="0" fillId="0" borderId="0" xfId="0" applyNumberFormat="1" applyFill="1" applyBorder="1"/>
    <xf numFmtId="2" fontId="0" fillId="0" borderId="0" xfId="0" applyNumberFormat="1" applyBorder="1"/>
    <xf numFmtId="2" fontId="0" fillId="2" borderId="22" xfId="0" applyNumberFormat="1" applyFill="1" applyBorder="1"/>
    <xf numFmtId="2" fontId="0" fillId="0" borderId="22" xfId="0" applyNumberFormat="1" applyBorder="1"/>
    <xf numFmtId="2" fontId="0" fillId="0" borderId="1" xfId="0" applyNumberFormat="1" applyFill="1" applyBorder="1"/>
    <xf numFmtId="0" fontId="5" fillId="2" borderId="9" xfId="0" applyFont="1" applyFill="1" applyBorder="1"/>
    <xf numFmtId="2" fontId="0" fillId="2" borderId="23" xfId="0" applyNumberFormat="1" applyFill="1" applyBorder="1"/>
    <xf numFmtId="2" fontId="0" fillId="2" borderId="0" xfId="0" applyNumberFormat="1" applyFill="1" applyBorder="1"/>
    <xf numFmtId="0" fontId="3" fillId="2" borderId="24" xfId="0" applyFont="1" applyFill="1" applyBorder="1"/>
    <xf numFmtId="2" fontId="0" fillId="2" borderId="25" xfId="0" applyNumberFormat="1" applyFill="1" applyBorder="1"/>
    <xf numFmtId="0" fontId="0" fillId="2" borderId="26" xfId="0" applyFill="1" applyBorder="1"/>
    <xf numFmtId="0" fontId="5" fillId="2" borderId="27" xfId="0" applyFont="1" applyFill="1" applyBorder="1"/>
    <xf numFmtId="0" fontId="0" fillId="2" borderId="29" xfId="0" applyFill="1" applyBorder="1"/>
    <xf numFmtId="0" fontId="0" fillId="0" borderId="1" xfId="0" applyFill="1" applyBorder="1" applyAlignment="1">
      <alignment horizontal="center"/>
    </xf>
    <xf numFmtId="0" fontId="0" fillId="2" borderId="23" xfId="0" applyFill="1" applyBorder="1" applyAlignment="1">
      <alignment horizontal="right"/>
    </xf>
    <xf numFmtId="0" fontId="0" fillId="0" borderId="3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4" xfId="0" applyFill="1" applyBorder="1" applyAlignment="1">
      <alignment wrapText="1"/>
    </xf>
    <xf numFmtId="0" fontId="9" fillId="0" borderId="4" xfId="0" applyFont="1" applyBorder="1"/>
    <xf numFmtId="1" fontId="9" fillId="0" borderId="0" xfId="0" applyNumberFormat="1" applyFont="1" applyFill="1" applyBorder="1"/>
    <xf numFmtId="0" fontId="0" fillId="2" borderId="31" xfId="0" applyFill="1" applyBorder="1"/>
    <xf numFmtId="0" fontId="0" fillId="2" borderId="0" xfId="0" applyFill="1" applyBorder="1"/>
    <xf numFmtId="0" fontId="0" fillId="2" borderId="22" xfId="0" applyFill="1" applyBorder="1"/>
    <xf numFmtId="0" fontId="0" fillId="2" borderId="32" xfId="0" applyFill="1" applyBorder="1"/>
    <xf numFmtId="0" fontId="9" fillId="0" borderId="0" xfId="0" applyFont="1" applyBorder="1"/>
    <xf numFmtId="0" fontId="0" fillId="0" borderId="33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3" fillId="2" borderId="4" xfId="0" applyFont="1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2" fontId="8" fillId="0" borderId="21" xfId="0" applyNumberFormat="1" applyFont="1" applyFill="1" applyBorder="1"/>
    <xf numFmtId="2" fontId="2" fillId="0" borderId="1" xfId="0" applyNumberFormat="1" applyFont="1" applyBorder="1"/>
    <xf numFmtId="0" fontId="3" fillId="2" borderId="2" xfId="0" applyFont="1" applyFill="1" applyBorder="1"/>
    <xf numFmtId="0" fontId="3" fillId="0" borderId="32" xfId="0" applyFont="1" applyFill="1" applyBorder="1"/>
    <xf numFmtId="2" fontId="9" fillId="0" borderId="0" xfId="0" applyNumberFormat="1" applyFont="1" applyFill="1" applyBorder="1"/>
    <xf numFmtId="2" fontId="8" fillId="0" borderId="1" xfId="0" applyNumberFormat="1" applyFont="1" applyFill="1" applyBorder="1"/>
    <xf numFmtId="0" fontId="0" fillId="3" borderId="34" xfId="0" applyFill="1" applyBorder="1"/>
    <xf numFmtId="0" fontId="0" fillId="2" borderId="25" xfId="0" applyFill="1" applyBorder="1"/>
    <xf numFmtId="0" fontId="0" fillId="2" borderId="35" xfId="0" applyFill="1" applyBorder="1"/>
    <xf numFmtId="0" fontId="0" fillId="2" borderId="36" xfId="0" applyFill="1" applyBorder="1"/>
    <xf numFmtId="0" fontId="0" fillId="2" borderId="7" xfId="0" applyFill="1" applyBorder="1"/>
    <xf numFmtId="0" fontId="0" fillId="2" borderId="23" xfId="0" applyFill="1" applyBorder="1"/>
    <xf numFmtId="0" fontId="0" fillId="2" borderId="9" xfId="0" applyFill="1" applyBorder="1"/>
    <xf numFmtId="0" fontId="0" fillId="2" borderId="37" xfId="0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0" fontId="0" fillId="0" borderId="39" xfId="0" applyBorder="1"/>
    <xf numFmtId="0" fontId="3" fillId="2" borderId="31" xfId="0" applyFont="1" applyFill="1" applyBorder="1"/>
    <xf numFmtId="0" fontId="0" fillId="0" borderId="40" xfId="0" applyBorder="1"/>
    <xf numFmtId="0" fontId="0" fillId="2" borderId="19" xfId="0" applyFill="1" applyBorder="1"/>
    <xf numFmtId="0" fontId="0" fillId="2" borderId="41" xfId="0" applyFill="1" applyBorder="1"/>
    <xf numFmtId="0" fontId="3" fillId="2" borderId="10" xfId="0" applyFont="1" applyFill="1" applyBorder="1"/>
    <xf numFmtId="0" fontId="3" fillId="2" borderId="23" xfId="0" applyFont="1" applyFill="1" applyBorder="1"/>
    <xf numFmtId="0" fontId="3" fillId="2" borderId="8" xfId="0" applyFont="1" applyFill="1" applyBorder="1"/>
    <xf numFmtId="0" fontId="3" fillId="2" borderId="37" xfId="0" applyFont="1" applyFill="1" applyBorder="1"/>
    <xf numFmtId="0" fontId="3" fillId="2" borderId="11" xfId="0" applyFont="1" applyFill="1" applyBorder="1"/>
    <xf numFmtId="0" fontId="2" fillId="2" borderId="23" xfId="0" applyFont="1" applyFill="1" applyBorder="1"/>
    <xf numFmtId="0" fontId="0" fillId="2" borderId="42" xfId="0" applyFill="1" applyBorder="1"/>
    <xf numFmtId="0" fontId="0" fillId="2" borderId="43" xfId="0" applyFill="1" applyBorder="1"/>
    <xf numFmtId="0" fontId="0" fillId="2" borderId="44" xfId="0" applyFill="1" applyBorder="1"/>
    <xf numFmtId="0" fontId="0" fillId="2" borderId="45" xfId="0" applyFill="1" applyBorder="1"/>
    <xf numFmtId="0" fontId="0" fillId="2" borderId="46" xfId="0" applyFill="1" applyBorder="1"/>
    <xf numFmtId="0" fontId="0" fillId="2" borderId="47" xfId="0" applyFill="1" applyBorder="1"/>
    <xf numFmtId="0" fontId="0" fillId="2" borderId="48" xfId="0" applyFill="1" applyBorder="1"/>
    <xf numFmtId="0" fontId="3" fillId="2" borderId="49" xfId="0" applyFont="1" applyFill="1" applyBorder="1"/>
    <xf numFmtId="164" fontId="3" fillId="0" borderId="50" xfId="0" applyNumberFormat="1" applyFont="1" applyFill="1" applyBorder="1"/>
    <xf numFmtId="0" fontId="0" fillId="2" borderId="14" xfId="0" applyFill="1" applyBorder="1" applyAlignment="1">
      <alignment horizontal="center" wrapText="1"/>
    </xf>
    <xf numFmtId="2" fontId="3" fillId="0" borderId="50" xfId="0" applyNumberFormat="1" applyFont="1" applyFill="1" applyBorder="1"/>
    <xf numFmtId="0" fontId="0" fillId="3" borderId="34" xfId="0" applyFill="1" applyBorder="1" applyProtection="1">
      <protection locked="0"/>
    </xf>
    <xf numFmtId="0" fontId="2" fillId="3" borderId="34" xfId="0" applyFont="1" applyFill="1" applyBorder="1" applyProtection="1">
      <protection locked="0"/>
    </xf>
    <xf numFmtId="164" fontId="0" fillId="3" borderId="34" xfId="0" applyNumberFormat="1" applyFill="1" applyBorder="1" applyProtection="1">
      <protection locked="0"/>
    </xf>
    <xf numFmtId="0" fontId="0" fillId="3" borderId="34" xfId="0" applyFill="1" applyBorder="1" applyAlignment="1" applyProtection="1">
      <alignment horizontal="center"/>
      <protection locked="0"/>
    </xf>
    <xf numFmtId="0" fontId="0" fillId="2" borderId="0" xfId="0" quotePrefix="1" applyFill="1" applyBorder="1" applyAlignment="1">
      <alignment horizontal="center"/>
    </xf>
    <xf numFmtId="0" fontId="0" fillId="2" borderId="0" xfId="0" quotePrefix="1" applyFill="1" applyBorder="1" applyAlignment="1">
      <alignment horizontal="left"/>
    </xf>
    <xf numFmtId="0" fontId="0" fillId="2" borderId="49" xfId="0" applyFill="1" applyBorder="1"/>
    <xf numFmtId="0" fontId="0" fillId="2" borderId="43" xfId="0" applyFill="1" applyBorder="1" applyAlignment="1">
      <alignment horizontal="center"/>
    </xf>
    <xf numFmtId="2" fontId="0" fillId="2" borderId="47" xfId="0" applyNumberFormat="1" applyFill="1" applyBorder="1"/>
    <xf numFmtId="0" fontId="0" fillId="2" borderId="48" xfId="0" applyFill="1" applyBorder="1" applyAlignment="1">
      <alignment horizontal="center"/>
    </xf>
    <xf numFmtId="0" fontId="9" fillId="0" borderId="4" xfId="0" applyFont="1" applyBorder="1" applyProtection="1"/>
    <xf numFmtId="1" fontId="9" fillId="0" borderId="0" xfId="0" applyNumberFormat="1" applyFont="1" applyFill="1" applyBorder="1" applyProtection="1"/>
    <xf numFmtId="2" fontId="9" fillId="0" borderId="0" xfId="0" applyNumberFormat="1" applyFont="1" applyFill="1" applyBorder="1" applyProtection="1"/>
    <xf numFmtId="0" fontId="9" fillId="0" borderId="0" xfId="0" applyFont="1" applyBorder="1" applyProtection="1"/>
    <xf numFmtId="0" fontId="3" fillId="2" borderId="5" xfId="0" applyFont="1" applyFill="1" applyBorder="1"/>
    <xf numFmtId="2" fontId="3" fillId="2" borderId="37" xfId="0" applyNumberFormat="1" applyFont="1" applyFill="1" applyBorder="1"/>
    <xf numFmtId="0" fontId="3" fillId="2" borderId="28" xfId="0" applyFont="1" applyFill="1" applyBorder="1"/>
    <xf numFmtId="2" fontId="3" fillId="2" borderId="36" xfId="0" applyNumberFormat="1" applyFont="1" applyFill="1" applyBorder="1"/>
    <xf numFmtId="0" fontId="3" fillId="2" borderId="29" xfId="0" applyFont="1" applyFill="1" applyBorder="1"/>
    <xf numFmtId="2" fontId="0" fillId="0" borderId="51" xfId="0" applyNumberFormat="1" applyFill="1" applyBorder="1"/>
    <xf numFmtId="2" fontId="11" fillId="0" borderId="51" xfId="0" applyNumberFormat="1" applyFont="1" applyFill="1" applyBorder="1"/>
    <xf numFmtId="0" fontId="3" fillId="0" borderId="52" xfId="0" applyFont="1" applyBorder="1"/>
    <xf numFmtId="0" fontId="3" fillId="0" borderId="40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quotePrefix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2" fontId="0" fillId="0" borderId="53" xfId="0" applyNumberFormat="1" applyBorder="1"/>
    <xf numFmtId="0" fontId="0" fillId="0" borderId="53" xfId="0" applyBorder="1"/>
    <xf numFmtId="0" fontId="0" fillId="0" borderId="47" xfId="0" applyBorder="1"/>
    <xf numFmtId="2" fontId="3" fillId="3" borderId="54" xfId="0" applyNumberFormat="1" applyFont="1" applyFill="1" applyBorder="1" applyAlignment="1"/>
    <xf numFmtId="2" fontId="3" fillId="3" borderId="55" xfId="0" applyNumberFormat="1" applyFont="1" applyFill="1" applyBorder="1" applyAlignment="1"/>
    <xf numFmtId="2" fontId="3" fillId="3" borderId="58" xfId="0" applyNumberFormat="1" applyFont="1" applyFill="1" applyBorder="1" applyAlignment="1"/>
    <xf numFmtId="2" fontId="0" fillId="0" borderId="54" xfId="0" applyNumberFormat="1" applyFill="1" applyBorder="1" applyAlignment="1"/>
    <xf numFmtId="2" fontId="0" fillId="0" borderId="55" xfId="0" applyNumberFormat="1" applyFill="1" applyBorder="1" applyAlignment="1"/>
    <xf numFmtId="2" fontId="0" fillId="0" borderId="59" xfId="0" applyNumberFormat="1" applyFill="1" applyBorder="1" applyAlignment="1"/>
    <xf numFmtId="2" fontId="0" fillId="0" borderId="0" xfId="0" applyNumberFormat="1" applyFill="1" applyBorder="1" applyAlignment="1"/>
    <xf numFmtId="2" fontId="0" fillId="0" borderId="0" xfId="0" applyNumberFormat="1" applyFill="1" applyBorder="1" applyAlignment="1">
      <alignment horizontal="center"/>
    </xf>
    <xf numFmtId="2" fontId="0" fillId="3" borderId="60" xfId="0" applyNumberFormat="1" applyFill="1" applyBorder="1" applyAlignment="1"/>
    <xf numFmtId="2" fontId="0" fillId="3" borderId="61" xfId="0" applyNumberFormat="1" applyFill="1" applyBorder="1" applyAlignment="1"/>
    <xf numFmtId="0" fontId="0" fillId="0" borderId="62" xfId="0" applyFill="1" applyBorder="1" applyProtection="1"/>
    <xf numFmtId="0" fontId="2" fillId="0" borderId="0" xfId="0" applyFont="1"/>
    <xf numFmtId="2" fontId="3" fillId="3" borderId="54" xfId="0" applyNumberFormat="1" applyFont="1" applyFill="1" applyBorder="1" applyAlignment="1">
      <alignment horizontal="left"/>
    </xf>
    <xf numFmtId="2" fontId="3" fillId="3" borderId="55" xfId="0" applyNumberFormat="1" applyFont="1" applyFill="1" applyBorder="1" applyAlignment="1">
      <alignment horizontal="left"/>
    </xf>
    <xf numFmtId="2" fontId="3" fillId="3" borderId="56" xfId="0" applyNumberFormat="1" applyFont="1" applyFill="1" applyBorder="1" applyAlignment="1">
      <alignment horizontal="left"/>
    </xf>
    <xf numFmtId="2" fontId="3" fillId="3" borderId="57" xfId="0" applyNumberFormat="1" applyFont="1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45" xfId="0" applyFill="1" applyBorder="1" applyAlignment="1">
      <alignment horizontal="left"/>
    </xf>
    <xf numFmtId="0" fontId="4" fillId="4" borderId="2" xfId="0" applyFont="1" applyFill="1" applyBorder="1"/>
    <xf numFmtId="0" fontId="0" fillId="4" borderId="31" xfId="0" applyFill="1" applyBorder="1"/>
    <xf numFmtId="0" fontId="0" fillId="4" borderId="31" xfId="0" applyFill="1" applyBorder="1" applyAlignment="1">
      <alignment horizontal="center"/>
    </xf>
    <xf numFmtId="2" fontId="0" fillId="4" borderId="31" xfId="0" applyNumberFormat="1" applyFill="1" applyBorder="1"/>
    <xf numFmtId="0" fontId="0" fillId="4" borderId="3" xfId="0" applyFill="1" applyBorder="1"/>
    <xf numFmtId="0" fontId="0" fillId="0" borderId="22" xfId="0" applyBorder="1"/>
    <xf numFmtId="0" fontId="8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4" xfId="0" applyFill="1" applyBorder="1"/>
    <xf numFmtId="0" fontId="3" fillId="2" borderId="74" xfId="0" applyFont="1" applyFill="1" applyBorder="1"/>
    <xf numFmtId="0" fontId="0" fillId="2" borderId="75" xfId="0" applyFill="1" applyBorder="1"/>
    <xf numFmtId="0" fontId="0" fillId="2" borderId="76" xfId="0" applyFill="1" applyBorder="1" applyAlignment="1">
      <alignment wrapText="1"/>
    </xf>
    <xf numFmtId="0" fontId="0" fillId="0" borderId="5" xfId="0" applyBorder="1"/>
    <xf numFmtId="0" fontId="0" fillId="0" borderId="32" xfId="0" applyBorder="1"/>
    <xf numFmtId="0" fontId="0" fillId="0" borderId="32" xfId="0" applyBorder="1" applyAlignment="1">
      <alignment horizontal="center"/>
    </xf>
    <xf numFmtId="2" fontId="0" fillId="0" borderId="32" xfId="0" applyNumberFormat="1" applyBorder="1"/>
    <xf numFmtId="2" fontId="0" fillId="0" borderId="32" xfId="0" applyNumberFormat="1" applyFill="1" applyBorder="1"/>
    <xf numFmtId="0" fontId="0" fillId="0" borderId="32" xfId="0" applyFill="1" applyBorder="1"/>
    <xf numFmtId="0" fontId="0" fillId="0" borderId="6" xfId="0" applyBorder="1"/>
    <xf numFmtId="2" fontId="8" fillId="0" borderId="0" xfId="0" applyNumberFormat="1" applyFont="1" applyBorder="1"/>
    <xf numFmtId="0" fontId="0" fillId="3" borderId="77" xfId="0" applyFill="1" applyBorder="1" applyAlignment="1" applyProtection="1">
      <alignment horizontal="center"/>
      <protection locked="0"/>
    </xf>
    <xf numFmtId="0" fontId="0" fillId="0" borderId="78" xfId="0" applyFill="1" applyBorder="1" applyAlignment="1">
      <alignment horizontal="center"/>
    </xf>
    <xf numFmtId="3" fontId="0" fillId="3" borderId="34" xfId="0" applyNumberFormat="1" applyFill="1" applyBorder="1" applyProtection="1">
      <protection locked="0"/>
    </xf>
    <xf numFmtId="4" fontId="0" fillId="3" borderId="60" xfId="0" applyNumberFormat="1" applyFill="1" applyBorder="1" applyAlignment="1"/>
    <xf numFmtId="4" fontId="0" fillId="3" borderId="61" xfId="0" applyNumberFormat="1" applyFill="1" applyBorder="1" applyAlignment="1"/>
    <xf numFmtId="1" fontId="9" fillId="0" borderId="0" xfId="0" applyNumberFormat="1" applyFont="1" applyBorder="1" applyProtection="1"/>
    <xf numFmtId="0" fontId="3" fillId="2" borderId="0" xfId="0" applyFont="1" applyFill="1" applyBorder="1"/>
    <xf numFmtId="0" fontId="0" fillId="0" borderId="31" xfId="0" applyBorder="1"/>
    <xf numFmtId="0" fontId="0" fillId="0" borderId="3" xfId="0" applyBorder="1"/>
    <xf numFmtId="0" fontId="2" fillId="2" borderId="4" xfId="0" applyFont="1" applyFill="1" applyBorder="1"/>
    <xf numFmtId="0" fontId="2" fillId="2" borderId="75" xfId="0" applyFont="1" applyFill="1" applyBorder="1"/>
    <xf numFmtId="0" fontId="0" fillId="2" borderId="74" xfId="0" applyFill="1" applyBorder="1"/>
    <xf numFmtId="0" fontId="3" fillId="2" borderId="75" xfId="0" applyFont="1" applyFill="1" applyBorder="1"/>
    <xf numFmtId="0" fontId="4" fillId="4" borderId="4" xfId="0" applyFont="1" applyFill="1" applyBorder="1"/>
    <xf numFmtId="0" fontId="0" fillId="4" borderId="0" xfId="0" applyFill="1" applyBorder="1"/>
    <xf numFmtId="0" fontId="4" fillId="4" borderId="0" xfId="0" applyFont="1" applyFill="1" applyBorder="1"/>
    <xf numFmtId="0" fontId="0" fillId="2" borderId="79" xfId="0" applyFill="1" applyBorder="1"/>
    <xf numFmtId="0" fontId="0" fillId="2" borderId="80" xfId="0" applyFill="1" applyBorder="1"/>
    <xf numFmtId="0" fontId="14" fillId="0" borderId="0" xfId="0" applyFont="1" applyBorder="1"/>
    <xf numFmtId="0" fontId="13" fillId="0" borderId="0" xfId="0" applyFont="1" applyBorder="1"/>
    <xf numFmtId="0" fontId="0" fillId="4" borderId="0" xfId="0" applyFill="1"/>
    <xf numFmtId="0" fontId="3" fillId="4" borderId="0" xfId="0" applyFont="1" applyFill="1"/>
    <xf numFmtId="0" fontId="4" fillId="4" borderId="0" xfId="0" applyFont="1" applyFill="1"/>
    <xf numFmtId="0" fontId="12" fillId="0" borderId="0" xfId="0" applyFont="1"/>
    <xf numFmtId="0" fontId="3" fillId="0" borderId="0" xfId="0" applyFont="1"/>
    <xf numFmtId="165" fontId="0" fillId="0" borderId="0" xfId="0" applyNumberFormat="1"/>
    <xf numFmtId="2" fontId="3" fillId="5" borderId="0" xfId="0" applyNumberFormat="1" applyFont="1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82" xfId="0" applyFont="1" applyBorder="1"/>
    <xf numFmtId="0" fontId="4" fillId="0" borderId="0" xfId="0" applyFont="1"/>
    <xf numFmtId="0" fontId="17" fillId="6" borderId="81" xfId="0" applyFont="1" applyFill="1" applyBorder="1"/>
    <xf numFmtId="4" fontId="0" fillId="0" borderId="0" xfId="0" applyNumberFormat="1"/>
    <xf numFmtId="4" fontId="3" fillId="5" borderId="0" xfId="0" applyNumberFormat="1" applyFont="1" applyFill="1"/>
    <xf numFmtId="0" fontId="3" fillId="0" borderId="83" xfId="0" applyFont="1" applyBorder="1"/>
    <xf numFmtId="0" fontId="2" fillId="0" borderId="83" xfId="0" applyFont="1" applyBorder="1"/>
    <xf numFmtId="0" fontId="0" fillId="0" borderId="83" xfId="0" applyBorder="1"/>
    <xf numFmtId="0" fontId="18" fillId="0" borderId="0" xfId="0" applyFont="1" applyBorder="1"/>
    <xf numFmtId="4" fontId="3" fillId="0" borderId="0" xfId="0" applyNumberFormat="1" applyFont="1" applyFill="1"/>
    <xf numFmtId="0" fontId="20" fillId="0" borderId="0" xfId="0" applyFont="1" applyBorder="1"/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0" fontId="20" fillId="0" borderId="0" xfId="0" applyFont="1" applyBorder="1" applyProtection="1">
      <protection locked="0"/>
    </xf>
    <xf numFmtId="2" fontId="2" fillId="0" borderId="0" xfId="0" applyNumberFormat="1" applyFont="1" applyProtection="1">
      <protection locked="0"/>
    </xf>
    <xf numFmtId="2" fontId="2" fillId="0" borderId="0" xfId="0" applyNumberFormat="1" applyFont="1"/>
    <xf numFmtId="0" fontId="21" fillId="0" borderId="0" xfId="0" applyFont="1"/>
    <xf numFmtId="2" fontId="12" fillId="3" borderId="63" xfId="0" applyNumberFormat="1" applyFont="1" applyFill="1" applyBorder="1" applyAlignment="1">
      <alignment horizontal="center"/>
    </xf>
    <xf numFmtId="2" fontId="12" fillId="3" borderId="64" xfId="0" applyNumberFormat="1" applyFont="1" applyFill="1" applyBorder="1" applyAlignment="1">
      <alignment horizontal="center"/>
    </xf>
    <xf numFmtId="2" fontId="12" fillId="3" borderId="65" xfId="0" applyNumberFormat="1" applyFont="1" applyFill="1" applyBorder="1" applyAlignment="1">
      <alignment horizontal="center"/>
    </xf>
    <xf numFmtId="2" fontId="0" fillId="0" borderId="54" xfId="0" applyNumberFormat="1" applyFill="1" applyBorder="1" applyAlignment="1">
      <alignment horizontal="center"/>
    </xf>
    <xf numFmtId="2" fontId="0" fillId="0" borderId="55" xfId="0" applyNumberFormat="1" applyFill="1" applyBorder="1" applyAlignment="1">
      <alignment horizontal="center"/>
    </xf>
    <xf numFmtId="2" fontId="0" fillId="0" borderId="59" xfId="0" applyNumberFormat="1" applyFill="1" applyBorder="1" applyAlignment="1">
      <alignment horizontal="center"/>
    </xf>
    <xf numFmtId="2" fontId="0" fillId="0" borderId="32" xfId="0" applyNumberFormat="1" applyFill="1" applyBorder="1" applyAlignment="1">
      <alignment horizontal="left"/>
    </xf>
    <xf numFmtId="2" fontId="3" fillId="3" borderId="54" xfId="0" applyNumberFormat="1" applyFont="1" applyFill="1" applyBorder="1" applyAlignment="1">
      <alignment horizontal="left"/>
    </xf>
    <xf numFmtId="2" fontId="3" fillId="3" borderId="55" xfId="0" applyNumberFormat="1" applyFont="1" applyFill="1" applyBorder="1" applyAlignment="1">
      <alignment horizontal="left"/>
    </xf>
    <xf numFmtId="2" fontId="3" fillId="3" borderId="58" xfId="0" applyNumberFormat="1" applyFont="1" applyFill="1" applyBorder="1" applyAlignment="1">
      <alignment horizontal="left"/>
    </xf>
    <xf numFmtId="2" fontId="0" fillId="3" borderId="66" xfId="0" applyNumberFormat="1" applyFill="1" applyBorder="1" applyAlignment="1">
      <alignment horizontal="center"/>
    </xf>
    <xf numFmtId="2" fontId="0" fillId="3" borderId="59" xfId="0" applyNumberFormat="1" applyFill="1" applyBorder="1" applyAlignment="1">
      <alignment horizontal="center"/>
    </xf>
    <xf numFmtId="2" fontId="3" fillId="3" borderId="56" xfId="0" applyNumberFormat="1" applyFont="1" applyFill="1" applyBorder="1" applyAlignment="1">
      <alignment horizontal="left"/>
    </xf>
    <xf numFmtId="2" fontId="3" fillId="3" borderId="57" xfId="0" applyNumberFormat="1" applyFont="1" applyFill="1" applyBorder="1" applyAlignment="1">
      <alignment horizontal="left"/>
    </xf>
    <xf numFmtId="2" fontId="3" fillId="3" borderId="67" xfId="0" applyNumberFormat="1" applyFont="1" applyFill="1" applyBorder="1" applyAlignment="1">
      <alignment horizontal="left"/>
    </xf>
    <xf numFmtId="0" fontId="0" fillId="3" borderId="59" xfId="0" applyFill="1" applyBorder="1" applyAlignment="1">
      <alignment horizontal="center"/>
    </xf>
    <xf numFmtId="2" fontId="0" fillId="3" borderId="68" xfId="0" applyNumberFormat="1" applyFill="1" applyBorder="1" applyAlignment="1">
      <alignment horizontal="center"/>
    </xf>
    <xf numFmtId="0" fontId="0" fillId="3" borderId="6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70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45" xfId="0" applyFill="1" applyBorder="1" applyAlignment="1">
      <alignment horizontal="left"/>
    </xf>
    <xf numFmtId="2" fontId="12" fillId="3" borderId="71" xfId="0" applyNumberFormat="1" applyFont="1" applyFill="1" applyBorder="1" applyAlignment="1">
      <alignment horizontal="center"/>
    </xf>
    <xf numFmtId="2" fontId="12" fillId="3" borderId="72" xfId="0" applyNumberFormat="1" applyFont="1" applyFill="1" applyBorder="1" applyAlignment="1">
      <alignment horizontal="center"/>
    </xf>
    <xf numFmtId="2" fontId="12" fillId="3" borderId="73" xfId="0" applyNumberFormat="1" applyFont="1" applyFill="1" applyBorder="1" applyAlignment="1">
      <alignment horizontal="center"/>
    </xf>
    <xf numFmtId="4" fontId="0" fillId="3" borderId="68" xfId="0" applyNumberFormat="1" applyFill="1" applyBorder="1" applyAlignment="1">
      <alignment horizontal="center"/>
    </xf>
    <xf numFmtId="4" fontId="0" fillId="3" borderId="69" xfId="0" applyNumberFormat="1" applyFill="1" applyBorder="1" applyAlignment="1">
      <alignment horizontal="center"/>
    </xf>
    <xf numFmtId="4" fontId="0" fillId="3" borderId="66" xfId="0" applyNumberFormat="1" applyFill="1" applyBorder="1" applyAlignment="1">
      <alignment horizontal="center"/>
    </xf>
    <xf numFmtId="4" fontId="0" fillId="3" borderId="59" xfId="0" applyNumberFormat="1" applyFill="1" applyBorder="1" applyAlignment="1">
      <alignment horizontal="center"/>
    </xf>
  </cellXfs>
  <cellStyles count="1">
    <cellStyle name="Normal" xfId="0" builtinId="0"/>
  </cellStyles>
  <dxfs count="18">
    <dxf>
      <numFmt numFmtId="165" formatCode="[$-409]mmmm\ d\,\ yyyy;@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373380</xdr:colOff>
      <xdr:row>4</xdr:row>
      <xdr:rowOff>38100</xdr:rowOff>
    </xdr:from>
    <xdr:to>
      <xdr:col>4</xdr:col>
      <xdr:colOff>175260</xdr:colOff>
      <xdr:row>5</xdr:row>
      <xdr:rowOff>137160</xdr:rowOff>
    </xdr:to>
    <xdr:sp macro="" textlink="">
      <xdr:nvSpPr>
        <xdr:cNvPr id="2182" name="AutoShape 3">
          <a:extLst>
            <a:ext uri="{FF2B5EF4-FFF2-40B4-BE49-F238E27FC236}">
              <a16:creationId xmlns:a16="http://schemas.microsoft.com/office/drawing/2014/main" id="{00000000-0008-0000-0100-000086080000}"/>
            </a:ext>
          </a:extLst>
        </xdr:cNvPr>
        <xdr:cNvSpPr>
          <a:spLocks noChangeArrowheads="1"/>
        </xdr:cNvSpPr>
      </xdr:nvSpPr>
      <xdr:spPr bwMode="auto">
        <a:xfrm>
          <a:off x="2369820" y="845820"/>
          <a:ext cx="320040" cy="266700"/>
        </a:xfrm>
        <a:prstGeom prst="downArrow">
          <a:avLst>
            <a:gd name="adj1" fmla="val 50000"/>
            <a:gd name="adj2" fmla="val 25000"/>
          </a:avLst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22860</xdr:colOff>
      <xdr:row>2</xdr:row>
      <xdr:rowOff>0</xdr:rowOff>
    </xdr:from>
    <xdr:to>
      <xdr:col>2</xdr:col>
      <xdr:colOff>350520</xdr:colOff>
      <xdr:row>3</xdr:row>
      <xdr:rowOff>53340</xdr:rowOff>
    </xdr:to>
    <xdr:sp macro="" textlink="">
      <xdr:nvSpPr>
        <xdr:cNvPr id="2183" name="AutoShape 4">
          <a:extLst>
            <a:ext uri="{FF2B5EF4-FFF2-40B4-BE49-F238E27FC236}">
              <a16:creationId xmlns:a16="http://schemas.microsoft.com/office/drawing/2014/main" id="{00000000-0008-0000-0100-000087080000}"/>
            </a:ext>
          </a:extLst>
        </xdr:cNvPr>
        <xdr:cNvSpPr>
          <a:spLocks noChangeArrowheads="1"/>
        </xdr:cNvSpPr>
      </xdr:nvSpPr>
      <xdr:spPr bwMode="auto">
        <a:xfrm>
          <a:off x="1645920" y="396240"/>
          <a:ext cx="327660" cy="259080"/>
        </a:xfrm>
        <a:prstGeom prst="rightArrow">
          <a:avLst>
            <a:gd name="adj1" fmla="val 50000"/>
            <a:gd name="adj2" fmla="val 31618"/>
          </a:avLst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</xdr:colOff>
      <xdr:row>6</xdr:row>
      <xdr:rowOff>7620</xdr:rowOff>
    </xdr:from>
    <xdr:to>
      <xdr:col>2</xdr:col>
      <xdr:colOff>365760</xdr:colOff>
      <xdr:row>7</xdr:row>
      <xdr:rowOff>0</xdr:rowOff>
    </xdr:to>
    <xdr:sp macro="" textlink="">
      <xdr:nvSpPr>
        <xdr:cNvPr id="2184" name="AutoShape 5">
          <a:extLst>
            <a:ext uri="{FF2B5EF4-FFF2-40B4-BE49-F238E27FC236}">
              <a16:creationId xmlns:a16="http://schemas.microsoft.com/office/drawing/2014/main" id="{00000000-0008-0000-0100-000088080000}"/>
            </a:ext>
          </a:extLst>
        </xdr:cNvPr>
        <xdr:cNvSpPr>
          <a:spLocks noChangeArrowheads="1"/>
        </xdr:cNvSpPr>
      </xdr:nvSpPr>
      <xdr:spPr bwMode="auto">
        <a:xfrm>
          <a:off x="1630680" y="1158240"/>
          <a:ext cx="358140" cy="198120"/>
        </a:xfrm>
        <a:prstGeom prst="rightArrow">
          <a:avLst>
            <a:gd name="adj1" fmla="val 50000"/>
            <a:gd name="adj2" fmla="val 45192"/>
          </a:avLst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22860</xdr:colOff>
      <xdr:row>9</xdr:row>
      <xdr:rowOff>137160</xdr:rowOff>
    </xdr:from>
    <xdr:to>
      <xdr:col>3</xdr:col>
      <xdr:colOff>0</xdr:colOff>
      <xdr:row>10</xdr:row>
      <xdr:rowOff>129540</xdr:rowOff>
    </xdr:to>
    <xdr:sp macro="" textlink="">
      <xdr:nvSpPr>
        <xdr:cNvPr id="2185" name="AutoShape 6">
          <a:extLst>
            <a:ext uri="{FF2B5EF4-FFF2-40B4-BE49-F238E27FC236}">
              <a16:creationId xmlns:a16="http://schemas.microsoft.com/office/drawing/2014/main" id="{00000000-0008-0000-0100-000089080000}"/>
            </a:ext>
          </a:extLst>
        </xdr:cNvPr>
        <xdr:cNvSpPr>
          <a:spLocks noChangeArrowheads="1"/>
        </xdr:cNvSpPr>
      </xdr:nvSpPr>
      <xdr:spPr bwMode="auto">
        <a:xfrm>
          <a:off x="1645920" y="1851660"/>
          <a:ext cx="350520" cy="175260"/>
        </a:xfrm>
        <a:prstGeom prst="rightArrow">
          <a:avLst>
            <a:gd name="adj1" fmla="val 50000"/>
            <a:gd name="adj2" fmla="val 50000"/>
          </a:avLst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22860</xdr:colOff>
      <xdr:row>8</xdr:row>
      <xdr:rowOff>7620</xdr:rowOff>
    </xdr:from>
    <xdr:to>
      <xdr:col>8</xdr:col>
      <xdr:colOff>365760</xdr:colOff>
      <xdr:row>9</xdr:row>
      <xdr:rowOff>45720</xdr:rowOff>
    </xdr:to>
    <xdr:sp macro="" textlink="">
      <xdr:nvSpPr>
        <xdr:cNvPr id="2186" name="AutoShape 13">
          <a:extLst>
            <a:ext uri="{FF2B5EF4-FFF2-40B4-BE49-F238E27FC236}">
              <a16:creationId xmlns:a16="http://schemas.microsoft.com/office/drawing/2014/main" id="{00000000-0008-0000-0100-00008A080000}"/>
            </a:ext>
          </a:extLst>
        </xdr:cNvPr>
        <xdr:cNvSpPr>
          <a:spLocks noChangeArrowheads="1"/>
        </xdr:cNvSpPr>
      </xdr:nvSpPr>
      <xdr:spPr bwMode="auto">
        <a:xfrm>
          <a:off x="4259580" y="1539240"/>
          <a:ext cx="342900" cy="220980"/>
        </a:xfrm>
        <a:prstGeom prst="rightArrow">
          <a:avLst>
            <a:gd name="adj1" fmla="val 50000"/>
            <a:gd name="adj2" fmla="val 38793"/>
          </a:avLst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228600</xdr:colOff>
      <xdr:row>0</xdr:row>
      <xdr:rowOff>91440</xdr:rowOff>
    </xdr:from>
    <xdr:to>
      <xdr:col>9</xdr:col>
      <xdr:colOff>0</xdr:colOff>
      <xdr:row>2</xdr:row>
      <xdr:rowOff>0</xdr:rowOff>
    </xdr:to>
    <xdr:cxnSp macro="">
      <xdr:nvCxnSpPr>
        <xdr:cNvPr id="2187" name="AutoShape 16">
          <a:extLst>
            <a:ext uri="{FF2B5EF4-FFF2-40B4-BE49-F238E27FC236}">
              <a16:creationId xmlns:a16="http://schemas.microsoft.com/office/drawing/2014/main" id="{00000000-0008-0000-0100-00008B080000}"/>
            </a:ext>
          </a:extLst>
        </xdr:cNvPr>
        <xdr:cNvCxnSpPr>
          <a:cxnSpLocks noChangeShapeType="1"/>
        </xdr:cNvCxnSpPr>
      </xdr:nvCxnSpPr>
      <xdr:spPr bwMode="auto">
        <a:xfrm>
          <a:off x="1851660" y="91440"/>
          <a:ext cx="2773680" cy="304800"/>
        </a:xfrm>
        <a:prstGeom prst="bentConnector3">
          <a:avLst>
            <a:gd name="adj1" fmla="val 76759"/>
          </a:avLst>
        </a:prstGeom>
        <a:noFill/>
        <a:ln w="25400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7620</xdr:colOff>
      <xdr:row>0</xdr:row>
      <xdr:rowOff>99060</xdr:rowOff>
    </xdr:from>
    <xdr:to>
      <xdr:col>3</xdr:col>
      <xdr:colOff>160020</xdr:colOff>
      <xdr:row>1</xdr:row>
      <xdr:rowOff>99060</xdr:rowOff>
    </xdr:to>
    <xdr:cxnSp macro="">
      <xdr:nvCxnSpPr>
        <xdr:cNvPr id="2188" name="AutoShape 17">
          <a:extLst>
            <a:ext uri="{FF2B5EF4-FFF2-40B4-BE49-F238E27FC236}">
              <a16:creationId xmlns:a16="http://schemas.microsoft.com/office/drawing/2014/main" id="{00000000-0008-0000-0100-00008C080000}"/>
            </a:ext>
          </a:extLst>
        </xdr:cNvPr>
        <xdr:cNvCxnSpPr>
          <a:cxnSpLocks noChangeShapeType="1"/>
        </xdr:cNvCxnSpPr>
      </xdr:nvCxnSpPr>
      <xdr:spPr bwMode="auto">
        <a:xfrm flipV="1">
          <a:off x="1630680" y="99060"/>
          <a:ext cx="525780" cy="220980"/>
        </a:xfrm>
        <a:prstGeom prst="bentConnector3">
          <a:avLst>
            <a:gd name="adj1" fmla="val 39620"/>
          </a:avLst>
        </a:prstGeom>
        <a:noFill/>
        <a:ln w="25400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579120</xdr:colOff>
      <xdr:row>11</xdr:row>
      <xdr:rowOff>38100</xdr:rowOff>
    </xdr:from>
    <xdr:to>
      <xdr:col>9</xdr:col>
      <xdr:colOff>906780</xdr:colOff>
      <xdr:row>12</xdr:row>
      <xdr:rowOff>137160</xdr:rowOff>
    </xdr:to>
    <xdr:sp macro="" textlink="">
      <xdr:nvSpPr>
        <xdr:cNvPr id="2189" name="AutoShape 18">
          <a:extLst>
            <a:ext uri="{FF2B5EF4-FFF2-40B4-BE49-F238E27FC236}">
              <a16:creationId xmlns:a16="http://schemas.microsoft.com/office/drawing/2014/main" id="{00000000-0008-0000-0100-00008D080000}"/>
            </a:ext>
          </a:extLst>
        </xdr:cNvPr>
        <xdr:cNvSpPr>
          <a:spLocks noChangeArrowheads="1"/>
        </xdr:cNvSpPr>
      </xdr:nvSpPr>
      <xdr:spPr bwMode="auto">
        <a:xfrm>
          <a:off x="5204460" y="2110740"/>
          <a:ext cx="327660" cy="266700"/>
        </a:xfrm>
        <a:prstGeom prst="downArrow">
          <a:avLst>
            <a:gd name="adj1" fmla="val 50000"/>
            <a:gd name="adj2" fmla="val 25000"/>
          </a:avLst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419100</xdr:colOff>
      <xdr:row>3</xdr:row>
      <xdr:rowOff>198120</xdr:rowOff>
    </xdr:from>
    <xdr:to>
      <xdr:col>11</xdr:col>
      <xdr:colOff>365760</xdr:colOff>
      <xdr:row>12</xdr:row>
      <xdr:rowOff>160020</xdr:rowOff>
    </xdr:to>
    <xdr:cxnSp macro="">
      <xdr:nvCxnSpPr>
        <xdr:cNvPr id="2190" name="AutoShape 19">
          <a:extLst>
            <a:ext uri="{FF2B5EF4-FFF2-40B4-BE49-F238E27FC236}">
              <a16:creationId xmlns:a16="http://schemas.microsoft.com/office/drawing/2014/main" id="{00000000-0008-0000-0100-00008E08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5768340" y="1402080"/>
          <a:ext cx="1600200" cy="396240"/>
        </a:xfrm>
        <a:prstGeom prst="bentConnector3">
          <a:avLst>
            <a:gd name="adj1" fmla="val 16352"/>
          </a:avLst>
        </a:prstGeom>
        <a:noFill/>
        <a:ln w="25400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22860</xdr:colOff>
      <xdr:row>18</xdr:row>
      <xdr:rowOff>22860</xdr:rowOff>
    </xdr:from>
    <xdr:to>
      <xdr:col>7</xdr:col>
      <xdr:colOff>30480</xdr:colOff>
      <xdr:row>19</xdr:row>
      <xdr:rowOff>7620</xdr:rowOff>
    </xdr:to>
    <xdr:sp macro="" textlink="">
      <xdr:nvSpPr>
        <xdr:cNvPr id="2191" name="AutoShape 21">
          <a:extLst>
            <a:ext uri="{FF2B5EF4-FFF2-40B4-BE49-F238E27FC236}">
              <a16:creationId xmlns:a16="http://schemas.microsoft.com/office/drawing/2014/main" id="{00000000-0008-0000-0100-00008F080000}"/>
            </a:ext>
          </a:extLst>
        </xdr:cNvPr>
        <xdr:cNvSpPr>
          <a:spLocks noChangeArrowheads="1"/>
        </xdr:cNvSpPr>
      </xdr:nvSpPr>
      <xdr:spPr bwMode="auto">
        <a:xfrm>
          <a:off x="3505200" y="3307080"/>
          <a:ext cx="190500" cy="160020"/>
        </a:xfrm>
        <a:prstGeom prst="rightArrow">
          <a:avLst>
            <a:gd name="adj1" fmla="val 50000"/>
            <a:gd name="adj2" fmla="val 29762"/>
          </a:avLst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4</xdr:row>
      <xdr:rowOff>38100</xdr:rowOff>
    </xdr:from>
    <xdr:to>
      <xdr:col>3</xdr:col>
      <xdr:colOff>297180</xdr:colOff>
      <xdr:row>5</xdr:row>
      <xdr:rowOff>137160</xdr:rowOff>
    </xdr:to>
    <xdr:sp macro="" textlink="">
      <xdr:nvSpPr>
        <xdr:cNvPr id="3172" name="AutoShape 3">
          <a:extLst>
            <a:ext uri="{FF2B5EF4-FFF2-40B4-BE49-F238E27FC236}">
              <a16:creationId xmlns:a16="http://schemas.microsoft.com/office/drawing/2014/main" id="{00000000-0008-0000-0200-0000640C0000}"/>
            </a:ext>
          </a:extLst>
        </xdr:cNvPr>
        <xdr:cNvSpPr>
          <a:spLocks noChangeArrowheads="1"/>
        </xdr:cNvSpPr>
      </xdr:nvSpPr>
      <xdr:spPr bwMode="auto">
        <a:xfrm>
          <a:off x="2118360" y="845820"/>
          <a:ext cx="297180" cy="266700"/>
        </a:xfrm>
        <a:prstGeom prst="downArrow">
          <a:avLst>
            <a:gd name="adj1" fmla="val 50000"/>
            <a:gd name="adj2" fmla="val 25000"/>
          </a:avLst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91440</xdr:colOff>
      <xdr:row>2</xdr:row>
      <xdr:rowOff>7620</xdr:rowOff>
    </xdr:from>
    <xdr:to>
      <xdr:col>2</xdr:col>
      <xdr:colOff>350520</xdr:colOff>
      <xdr:row>3</xdr:row>
      <xdr:rowOff>7620</xdr:rowOff>
    </xdr:to>
    <xdr:sp macro="" textlink="">
      <xdr:nvSpPr>
        <xdr:cNvPr id="3173" name="AutoShape 6">
          <a:extLst>
            <a:ext uri="{FF2B5EF4-FFF2-40B4-BE49-F238E27FC236}">
              <a16:creationId xmlns:a16="http://schemas.microsoft.com/office/drawing/2014/main" id="{00000000-0008-0000-0200-0000650C0000}"/>
            </a:ext>
          </a:extLst>
        </xdr:cNvPr>
        <xdr:cNvSpPr>
          <a:spLocks noChangeArrowheads="1"/>
        </xdr:cNvSpPr>
      </xdr:nvSpPr>
      <xdr:spPr bwMode="auto">
        <a:xfrm>
          <a:off x="1760220" y="403860"/>
          <a:ext cx="259080" cy="205740"/>
        </a:xfrm>
        <a:prstGeom prst="rightArrow">
          <a:avLst>
            <a:gd name="adj1" fmla="val 50000"/>
            <a:gd name="adj2" fmla="val 31481"/>
          </a:avLst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144780</xdr:colOff>
      <xdr:row>6</xdr:row>
      <xdr:rowOff>30480</xdr:rowOff>
    </xdr:from>
    <xdr:to>
      <xdr:col>2</xdr:col>
      <xdr:colOff>381000</xdr:colOff>
      <xdr:row>7</xdr:row>
      <xdr:rowOff>22860</xdr:rowOff>
    </xdr:to>
    <xdr:sp macro="" textlink="">
      <xdr:nvSpPr>
        <xdr:cNvPr id="3174" name="AutoShape 2">
          <a:extLst>
            <a:ext uri="{FF2B5EF4-FFF2-40B4-BE49-F238E27FC236}">
              <a16:creationId xmlns:a16="http://schemas.microsoft.com/office/drawing/2014/main" id="{00000000-0008-0000-0200-0000660C0000}"/>
            </a:ext>
          </a:extLst>
        </xdr:cNvPr>
        <xdr:cNvSpPr>
          <a:spLocks noChangeArrowheads="1"/>
        </xdr:cNvSpPr>
      </xdr:nvSpPr>
      <xdr:spPr bwMode="auto">
        <a:xfrm>
          <a:off x="1813560" y="1181100"/>
          <a:ext cx="236220" cy="167640"/>
        </a:xfrm>
        <a:prstGeom prst="rightArrow">
          <a:avLst>
            <a:gd name="adj1" fmla="val 50000"/>
            <a:gd name="adj2" fmla="val 35227"/>
          </a:avLst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114300</xdr:colOff>
      <xdr:row>10</xdr:row>
      <xdr:rowOff>0</xdr:rowOff>
    </xdr:from>
    <xdr:to>
      <xdr:col>2</xdr:col>
      <xdr:colOff>350520</xdr:colOff>
      <xdr:row>10</xdr:row>
      <xdr:rowOff>167640</xdr:rowOff>
    </xdr:to>
    <xdr:sp macro="" textlink="">
      <xdr:nvSpPr>
        <xdr:cNvPr id="3175" name="AutoShape 1">
          <a:extLst>
            <a:ext uri="{FF2B5EF4-FFF2-40B4-BE49-F238E27FC236}">
              <a16:creationId xmlns:a16="http://schemas.microsoft.com/office/drawing/2014/main" id="{00000000-0008-0000-0200-0000670C0000}"/>
            </a:ext>
          </a:extLst>
        </xdr:cNvPr>
        <xdr:cNvSpPr>
          <a:spLocks noChangeArrowheads="1"/>
        </xdr:cNvSpPr>
      </xdr:nvSpPr>
      <xdr:spPr bwMode="auto">
        <a:xfrm>
          <a:off x="1783080" y="1866900"/>
          <a:ext cx="236220" cy="167640"/>
        </a:xfrm>
        <a:prstGeom prst="rightArrow">
          <a:avLst>
            <a:gd name="adj1" fmla="val 50000"/>
            <a:gd name="adj2" fmla="val 35227"/>
          </a:avLst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22860</xdr:colOff>
      <xdr:row>8</xdr:row>
      <xdr:rowOff>7620</xdr:rowOff>
    </xdr:from>
    <xdr:to>
      <xdr:col>8</xdr:col>
      <xdr:colOff>365760</xdr:colOff>
      <xdr:row>9</xdr:row>
      <xdr:rowOff>45720</xdr:rowOff>
    </xdr:to>
    <xdr:sp macro="" textlink="">
      <xdr:nvSpPr>
        <xdr:cNvPr id="3176" name="AutoShape 7">
          <a:extLst>
            <a:ext uri="{FF2B5EF4-FFF2-40B4-BE49-F238E27FC236}">
              <a16:creationId xmlns:a16="http://schemas.microsoft.com/office/drawing/2014/main" id="{00000000-0008-0000-0200-0000680C0000}"/>
            </a:ext>
          </a:extLst>
        </xdr:cNvPr>
        <xdr:cNvSpPr>
          <a:spLocks noChangeArrowheads="1"/>
        </xdr:cNvSpPr>
      </xdr:nvSpPr>
      <xdr:spPr bwMode="auto">
        <a:xfrm>
          <a:off x="4709160" y="1508760"/>
          <a:ext cx="342900" cy="220980"/>
        </a:xfrm>
        <a:prstGeom prst="rightArrow">
          <a:avLst>
            <a:gd name="adj1" fmla="val 50000"/>
            <a:gd name="adj2" fmla="val 38793"/>
          </a:avLst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579120</xdr:colOff>
      <xdr:row>11</xdr:row>
      <xdr:rowOff>38100</xdr:rowOff>
    </xdr:from>
    <xdr:to>
      <xdr:col>9</xdr:col>
      <xdr:colOff>899160</xdr:colOff>
      <xdr:row>12</xdr:row>
      <xdr:rowOff>137160</xdr:rowOff>
    </xdr:to>
    <xdr:sp macro="" textlink="">
      <xdr:nvSpPr>
        <xdr:cNvPr id="3177" name="AutoShape 8">
          <a:extLst>
            <a:ext uri="{FF2B5EF4-FFF2-40B4-BE49-F238E27FC236}">
              <a16:creationId xmlns:a16="http://schemas.microsoft.com/office/drawing/2014/main" id="{00000000-0008-0000-0200-0000690C0000}"/>
            </a:ext>
          </a:extLst>
        </xdr:cNvPr>
        <xdr:cNvSpPr>
          <a:spLocks noChangeArrowheads="1"/>
        </xdr:cNvSpPr>
      </xdr:nvSpPr>
      <xdr:spPr bwMode="auto">
        <a:xfrm>
          <a:off x="5875020" y="2080260"/>
          <a:ext cx="320040" cy="266700"/>
        </a:xfrm>
        <a:prstGeom prst="downArrow">
          <a:avLst>
            <a:gd name="adj1" fmla="val 50000"/>
            <a:gd name="adj2" fmla="val 25000"/>
          </a:avLst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7620</xdr:colOff>
      <xdr:row>15</xdr:row>
      <xdr:rowOff>152400</xdr:rowOff>
    </xdr:from>
    <xdr:to>
      <xdr:col>4</xdr:col>
      <xdr:colOff>22860</xdr:colOff>
      <xdr:row>16</xdr:row>
      <xdr:rowOff>0</xdr:rowOff>
    </xdr:to>
    <xdr:cxnSp macro="">
      <xdr:nvCxnSpPr>
        <xdr:cNvPr id="3178" name="AutoShape 9">
          <a:extLst>
            <a:ext uri="{FF2B5EF4-FFF2-40B4-BE49-F238E27FC236}">
              <a16:creationId xmlns:a16="http://schemas.microsoft.com/office/drawing/2014/main" id="{00000000-0008-0000-0200-00006A0C0000}"/>
            </a:ext>
          </a:extLst>
        </xdr:cNvPr>
        <xdr:cNvCxnSpPr>
          <a:cxnSpLocks noChangeShapeType="1"/>
        </xdr:cNvCxnSpPr>
      </xdr:nvCxnSpPr>
      <xdr:spPr bwMode="auto">
        <a:xfrm>
          <a:off x="2125980" y="2887980"/>
          <a:ext cx="624840" cy="2286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563880</xdr:colOff>
      <xdr:row>12</xdr:row>
      <xdr:rowOff>160020</xdr:rowOff>
    </xdr:from>
    <xdr:to>
      <xdr:col>9</xdr:col>
      <xdr:colOff>137160</xdr:colOff>
      <xdr:row>14</xdr:row>
      <xdr:rowOff>30480</xdr:rowOff>
    </xdr:to>
    <xdr:sp macro="" textlink="">
      <xdr:nvSpPr>
        <xdr:cNvPr id="3179" name="AutoShape 11">
          <a:extLst>
            <a:ext uri="{FF2B5EF4-FFF2-40B4-BE49-F238E27FC236}">
              <a16:creationId xmlns:a16="http://schemas.microsoft.com/office/drawing/2014/main" id="{00000000-0008-0000-0200-00006B0C0000}"/>
            </a:ext>
          </a:extLst>
        </xdr:cNvPr>
        <xdr:cNvSpPr>
          <a:spLocks noChangeArrowheads="1"/>
        </xdr:cNvSpPr>
      </xdr:nvSpPr>
      <xdr:spPr bwMode="auto">
        <a:xfrm rot="-1500000">
          <a:off x="3291840" y="2369820"/>
          <a:ext cx="2141220" cy="213360"/>
        </a:xfrm>
        <a:prstGeom prst="rightArrow">
          <a:avLst>
            <a:gd name="adj1" fmla="val 50000"/>
            <a:gd name="adj2" fmla="val 250893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373380</xdr:colOff>
      <xdr:row>32</xdr:row>
      <xdr:rowOff>76200</xdr:rowOff>
    </xdr:from>
    <xdr:to>
      <xdr:col>7</xdr:col>
      <xdr:colOff>137160</xdr:colOff>
      <xdr:row>41</xdr:row>
      <xdr:rowOff>15240</xdr:rowOff>
    </xdr:to>
    <xdr:sp macro="" textlink="">
      <xdr:nvSpPr>
        <xdr:cNvPr id="4347" name="AutoShape 20">
          <a:extLst>
            <a:ext uri="{FF2B5EF4-FFF2-40B4-BE49-F238E27FC236}">
              <a16:creationId xmlns:a16="http://schemas.microsoft.com/office/drawing/2014/main" id="{00000000-0008-0000-0300-0000FB100000}"/>
            </a:ext>
          </a:extLst>
        </xdr:cNvPr>
        <xdr:cNvSpPr>
          <a:spLocks noChangeArrowheads="1"/>
        </xdr:cNvSpPr>
      </xdr:nvSpPr>
      <xdr:spPr bwMode="auto">
        <a:xfrm>
          <a:off x="2788920" y="6499860"/>
          <a:ext cx="2430780" cy="1927860"/>
        </a:xfrm>
        <a:prstGeom prst="flowChartProcess">
          <a:avLst/>
        </a:prstGeom>
        <a:noFill/>
        <a:ln w="25400">
          <a:solidFill>
            <a:srgbClr val="00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22860</xdr:rowOff>
    </xdr:from>
    <xdr:to>
      <xdr:col>3</xdr:col>
      <xdr:colOff>76200</xdr:colOff>
      <xdr:row>12</xdr:row>
      <xdr:rowOff>60960</xdr:rowOff>
    </xdr:to>
    <xdr:sp macro="" textlink="">
      <xdr:nvSpPr>
        <xdr:cNvPr id="4348" name="AutoShape 11">
          <a:extLst>
            <a:ext uri="{FF2B5EF4-FFF2-40B4-BE49-F238E27FC236}">
              <a16:creationId xmlns:a16="http://schemas.microsoft.com/office/drawing/2014/main" id="{00000000-0008-0000-0300-0000FC100000}"/>
            </a:ext>
          </a:extLst>
        </xdr:cNvPr>
        <xdr:cNvSpPr>
          <a:spLocks noChangeArrowheads="1"/>
        </xdr:cNvSpPr>
      </xdr:nvSpPr>
      <xdr:spPr bwMode="auto">
        <a:xfrm>
          <a:off x="0" y="281940"/>
          <a:ext cx="2499360" cy="1988820"/>
        </a:xfrm>
        <a:prstGeom prst="flowChartProcess">
          <a:avLst/>
        </a:prstGeom>
        <a:noFill/>
        <a:ln w="25400">
          <a:solidFill>
            <a:srgbClr val="00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403860</xdr:colOff>
      <xdr:row>2</xdr:row>
      <xdr:rowOff>99060</xdr:rowOff>
    </xdr:from>
    <xdr:to>
      <xdr:col>8</xdr:col>
      <xdr:colOff>76200</xdr:colOff>
      <xdr:row>11</xdr:row>
      <xdr:rowOff>129540</xdr:rowOff>
    </xdr:to>
    <xdr:sp macro="" textlink="">
      <xdr:nvSpPr>
        <xdr:cNvPr id="4349" name="AutoShape 10">
          <a:extLst>
            <a:ext uri="{FF2B5EF4-FFF2-40B4-BE49-F238E27FC236}">
              <a16:creationId xmlns:a16="http://schemas.microsoft.com/office/drawing/2014/main" id="{00000000-0008-0000-0300-0000FD100000}"/>
            </a:ext>
          </a:extLst>
        </xdr:cNvPr>
        <xdr:cNvSpPr>
          <a:spLocks noChangeArrowheads="1"/>
        </xdr:cNvSpPr>
      </xdr:nvSpPr>
      <xdr:spPr bwMode="auto">
        <a:xfrm>
          <a:off x="2819400" y="350520"/>
          <a:ext cx="2880360" cy="1744980"/>
        </a:xfrm>
        <a:prstGeom prst="flowChartProcess">
          <a:avLst/>
        </a:prstGeom>
        <a:noFill/>
        <a:ln w="25400">
          <a:solidFill>
            <a:srgbClr val="00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251460</xdr:colOff>
      <xdr:row>12</xdr:row>
      <xdr:rowOff>76200</xdr:rowOff>
    </xdr:from>
    <xdr:to>
      <xdr:col>1</xdr:col>
      <xdr:colOff>548640</xdr:colOff>
      <xdr:row>12</xdr:row>
      <xdr:rowOff>381000</xdr:rowOff>
    </xdr:to>
    <xdr:sp macro="" textlink="">
      <xdr:nvSpPr>
        <xdr:cNvPr id="4350" name="AutoShape 1">
          <a:extLst>
            <a:ext uri="{FF2B5EF4-FFF2-40B4-BE49-F238E27FC236}">
              <a16:creationId xmlns:a16="http://schemas.microsoft.com/office/drawing/2014/main" id="{00000000-0008-0000-0300-0000FE100000}"/>
            </a:ext>
          </a:extLst>
        </xdr:cNvPr>
        <xdr:cNvSpPr>
          <a:spLocks noChangeArrowheads="1"/>
        </xdr:cNvSpPr>
      </xdr:nvSpPr>
      <xdr:spPr bwMode="auto">
        <a:xfrm>
          <a:off x="1958340" y="2217420"/>
          <a:ext cx="297180" cy="175260"/>
        </a:xfrm>
        <a:prstGeom prst="downArrow">
          <a:avLst>
            <a:gd name="adj1" fmla="val 50000"/>
            <a:gd name="adj2" fmla="val 25000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251460</xdr:colOff>
      <xdr:row>20</xdr:row>
      <xdr:rowOff>22860</xdr:rowOff>
    </xdr:from>
    <xdr:to>
      <xdr:col>1</xdr:col>
      <xdr:colOff>548640</xdr:colOff>
      <xdr:row>20</xdr:row>
      <xdr:rowOff>342900</xdr:rowOff>
    </xdr:to>
    <xdr:sp macro="" textlink="">
      <xdr:nvSpPr>
        <xdr:cNvPr id="4351" name="AutoShape 4">
          <a:extLst>
            <a:ext uri="{FF2B5EF4-FFF2-40B4-BE49-F238E27FC236}">
              <a16:creationId xmlns:a16="http://schemas.microsoft.com/office/drawing/2014/main" id="{00000000-0008-0000-0300-0000FF100000}"/>
            </a:ext>
          </a:extLst>
        </xdr:cNvPr>
        <xdr:cNvSpPr>
          <a:spLocks noChangeArrowheads="1"/>
        </xdr:cNvSpPr>
      </xdr:nvSpPr>
      <xdr:spPr bwMode="auto">
        <a:xfrm>
          <a:off x="1958340" y="3771900"/>
          <a:ext cx="297180" cy="320040"/>
        </a:xfrm>
        <a:prstGeom prst="downArrow">
          <a:avLst>
            <a:gd name="adj1" fmla="val 50000"/>
            <a:gd name="adj2" fmla="val 26923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106680</xdr:colOff>
      <xdr:row>4</xdr:row>
      <xdr:rowOff>22860</xdr:rowOff>
    </xdr:from>
    <xdr:to>
      <xdr:col>3</xdr:col>
      <xdr:colOff>419100</xdr:colOff>
      <xdr:row>5</xdr:row>
      <xdr:rowOff>83820</xdr:rowOff>
    </xdr:to>
    <xdr:sp macro="" textlink="">
      <xdr:nvSpPr>
        <xdr:cNvPr id="4352" name="AutoShape 5">
          <a:extLst>
            <a:ext uri="{FF2B5EF4-FFF2-40B4-BE49-F238E27FC236}">
              <a16:creationId xmlns:a16="http://schemas.microsoft.com/office/drawing/2014/main" id="{00000000-0008-0000-0300-000000110000}"/>
            </a:ext>
          </a:extLst>
        </xdr:cNvPr>
        <xdr:cNvSpPr>
          <a:spLocks noChangeArrowheads="1"/>
        </xdr:cNvSpPr>
      </xdr:nvSpPr>
      <xdr:spPr bwMode="auto">
        <a:xfrm>
          <a:off x="2522220" y="655320"/>
          <a:ext cx="312420" cy="236220"/>
        </a:xfrm>
        <a:prstGeom prst="rightArrow">
          <a:avLst>
            <a:gd name="adj1" fmla="val 50000"/>
            <a:gd name="adj2" fmla="val 33065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114300</xdr:colOff>
      <xdr:row>9</xdr:row>
      <xdr:rowOff>22860</xdr:rowOff>
    </xdr:from>
    <xdr:to>
      <xdr:col>3</xdr:col>
      <xdr:colOff>419100</xdr:colOff>
      <xdr:row>10</xdr:row>
      <xdr:rowOff>76200</xdr:rowOff>
    </xdr:to>
    <xdr:sp macro="" textlink="">
      <xdr:nvSpPr>
        <xdr:cNvPr id="4353" name="AutoShape 6">
          <a:extLst>
            <a:ext uri="{FF2B5EF4-FFF2-40B4-BE49-F238E27FC236}">
              <a16:creationId xmlns:a16="http://schemas.microsoft.com/office/drawing/2014/main" id="{00000000-0008-0000-0300-000001110000}"/>
            </a:ext>
          </a:extLst>
        </xdr:cNvPr>
        <xdr:cNvSpPr>
          <a:spLocks noChangeArrowheads="1"/>
        </xdr:cNvSpPr>
      </xdr:nvSpPr>
      <xdr:spPr bwMode="auto">
        <a:xfrm>
          <a:off x="2529840" y="1630680"/>
          <a:ext cx="304800" cy="236220"/>
        </a:xfrm>
        <a:prstGeom prst="rightArrow">
          <a:avLst>
            <a:gd name="adj1" fmla="val 50000"/>
            <a:gd name="adj2" fmla="val 3225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45720</xdr:colOff>
      <xdr:row>20</xdr:row>
      <xdr:rowOff>45720</xdr:rowOff>
    </xdr:from>
    <xdr:to>
      <xdr:col>7</xdr:col>
      <xdr:colOff>510540</xdr:colOff>
      <xdr:row>22</xdr:row>
      <xdr:rowOff>152400</xdr:rowOff>
    </xdr:to>
    <xdr:sp macro="" textlink="">
      <xdr:nvSpPr>
        <xdr:cNvPr id="4354" name="AutoShape 8">
          <a:extLst>
            <a:ext uri="{FF2B5EF4-FFF2-40B4-BE49-F238E27FC236}">
              <a16:creationId xmlns:a16="http://schemas.microsoft.com/office/drawing/2014/main" id="{00000000-0008-0000-0300-000002110000}"/>
            </a:ext>
          </a:extLst>
        </xdr:cNvPr>
        <xdr:cNvSpPr>
          <a:spLocks noChangeArrowheads="1"/>
        </xdr:cNvSpPr>
      </xdr:nvSpPr>
      <xdr:spPr bwMode="auto">
        <a:xfrm>
          <a:off x="4465320" y="3794760"/>
          <a:ext cx="1127760" cy="66294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8721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7280" y="0"/>
              </a:moveTo>
              <a:lnTo>
                <a:pt x="12960" y="7200"/>
              </a:lnTo>
              <a:lnTo>
                <a:pt x="16046" y="7200"/>
              </a:lnTo>
              <a:lnTo>
                <a:pt x="16046" y="18721"/>
              </a:lnTo>
              <a:lnTo>
                <a:pt x="0" y="18721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7280" y="0"/>
              </a:lnTo>
              <a:close/>
            </a:path>
          </a:pathLst>
        </a:cu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205740</xdr:colOff>
      <xdr:row>11</xdr:row>
      <xdr:rowOff>152400</xdr:rowOff>
    </xdr:from>
    <xdr:to>
      <xdr:col>5</xdr:col>
      <xdr:colOff>571500</xdr:colOff>
      <xdr:row>16</xdr:row>
      <xdr:rowOff>91440</xdr:rowOff>
    </xdr:to>
    <xdr:sp macro="" textlink="">
      <xdr:nvSpPr>
        <xdr:cNvPr id="4355" name="AutoShape 9">
          <a:extLst>
            <a:ext uri="{FF2B5EF4-FFF2-40B4-BE49-F238E27FC236}">
              <a16:creationId xmlns:a16="http://schemas.microsoft.com/office/drawing/2014/main" id="{00000000-0008-0000-0300-000003110000}"/>
            </a:ext>
          </a:extLst>
        </xdr:cNvPr>
        <xdr:cNvSpPr>
          <a:spLocks noChangeArrowheads="1"/>
        </xdr:cNvSpPr>
      </xdr:nvSpPr>
      <xdr:spPr bwMode="auto">
        <a:xfrm>
          <a:off x="4030980" y="2118360"/>
          <a:ext cx="365760" cy="990600"/>
        </a:xfrm>
        <a:prstGeom prst="upArrow">
          <a:avLst>
            <a:gd name="adj1" fmla="val 50000"/>
            <a:gd name="adj2" fmla="val 6770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106680</xdr:colOff>
      <xdr:row>6</xdr:row>
      <xdr:rowOff>76200</xdr:rowOff>
    </xdr:from>
    <xdr:to>
      <xdr:col>8</xdr:col>
      <xdr:colOff>510540</xdr:colOff>
      <xdr:row>7</xdr:row>
      <xdr:rowOff>106680</xdr:rowOff>
    </xdr:to>
    <xdr:sp macro="" textlink="">
      <xdr:nvSpPr>
        <xdr:cNvPr id="4356" name="AutoShape 13">
          <a:extLst>
            <a:ext uri="{FF2B5EF4-FFF2-40B4-BE49-F238E27FC236}">
              <a16:creationId xmlns:a16="http://schemas.microsoft.com/office/drawing/2014/main" id="{00000000-0008-0000-0300-000004110000}"/>
            </a:ext>
          </a:extLst>
        </xdr:cNvPr>
        <xdr:cNvSpPr>
          <a:spLocks noChangeArrowheads="1"/>
        </xdr:cNvSpPr>
      </xdr:nvSpPr>
      <xdr:spPr bwMode="auto">
        <a:xfrm>
          <a:off x="5730240" y="1097280"/>
          <a:ext cx="403860" cy="236220"/>
        </a:xfrm>
        <a:prstGeom prst="rightArrow">
          <a:avLst>
            <a:gd name="adj1" fmla="val 50000"/>
            <a:gd name="adj2" fmla="val 42742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457200</xdr:colOff>
      <xdr:row>10</xdr:row>
      <xdr:rowOff>144780</xdr:rowOff>
    </xdr:from>
    <xdr:to>
      <xdr:col>12</xdr:col>
      <xdr:colOff>137160</xdr:colOff>
      <xdr:row>20</xdr:row>
      <xdr:rowOff>144780</xdr:rowOff>
    </xdr:to>
    <xdr:sp macro="" textlink="">
      <xdr:nvSpPr>
        <xdr:cNvPr id="4357" name="AutoShape 14">
          <a:extLst>
            <a:ext uri="{FF2B5EF4-FFF2-40B4-BE49-F238E27FC236}">
              <a16:creationId xmlns:a16="http://schemas.microsoft.com/office/drawing/2014/main" id="{00000000-0008-0000-0300-000005110000}"/>
            </a:ext>
          </a:extLst>
        </xdr:cNvPr>
        <xdr:cNvSpPr>
          <a:spLocks noChangeArrowheads="1"/>
        </xdr:cNvSpPr>
      </xdr:nvSpPr>
      <xdr:spPr bwMode="auto">
        <a:xfrm>
          <a:off x="6629400" y="1935480"/>
          <a:ext cx="1623060" cy="1958340"/>
        </a:xfrm>
        <a:prstGeom prst="flowChartProcess">
          <a:avLst/>
        </a:prstGeom>
        <a:noFill/>
        <a:ln w="25400">
          <a:solidFill>
            <a:srgbClr val="00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441960</xdr:colOff>
      <xdr:row>12</xdr:row>
      <xdr:rowOff>7620</xdr:rowOff>
    </xdr:from>
    <xdr:to>
      <xdr:col>9</xdr:col>
      <xdr:colOff>342900</xdr:colOff>
      <xdr:row>16</xdr:row>
      <xdr:rowOff>91440</xdr:rowOff>
    </xdr:to>
    <xdr:sp macro="" textlink="">
      <xdr:nvSpPr>
        <xdr:cNvPr id="4358" name="AutoShape 16">
          <a:extLst>
            <a:ext uri="{FF2B5EF4-FFF2-40B4-BE49-F238E27FC236}">
              <a16:creationId xmlns:a16="http://schemas.microsoft.com/office/drawing/2014/main" id="{00000000-0008-0000-0300-000006110000}"/>
            </a:ext>
          </a:extLst>
        </xdr:cNvPr>
        <xdr:cNvSpPr>
          <a:spLocks noChangeArrowheads="1"/>
        </xdr:cNvSpPr>
      </xdr:nvSpPr>
      <xdr:spPr bwMode="auto">
        <a:xfrm rot="5400000">
          <a:off x="5539740" y="2133600"/>
          <a:ext cx="960120" cy="99060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7018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6551" y="0"/>
              </a:moveTo>
              <a:lnTo>
                <a:pt x="11501" y="7200"/>
              </a:lnTo>
              <a:lnTo>
                <a:pt x="14587" y="7200"/>
              </a:lnTo>
              <a:lnTo>
                <a:pt x="14587" y="17018"/>
              </a:lnTo>
              <a:lnTo>
                <a:pt x="0" y="17018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6551" y="0"/>
              </a:lnTo>
              <a:close/>
            </a:path>
          </a:pathLst>
        </a:cu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571500</xdr:colOff>
      <xdr:row>20</xdr:row>
      <xdr:rowOff>175260</xdr:rowOff>
    </xdr:from>
    <xdr:to>
      <xdr:col>11</xdr:col>
      <xdr:colOff>106680</xdr:colOff>
      <xdr:row>21</xdr:row>
      <xdr:rowOff>175260</xdr:rowOff>
    </xdr:to>
    <xdr:sp macro="" textlink="">
      <xdr:nvSpPr>
        <xdr:cNvPr id="4359" name="AutoShape 17">
          <a:extLst>
            <a:ext uri="{FF2B5EF4-FFF2-40B4-BE49-F238E27FC236}">
              <a16:creationId xmlns:a16="http://schemas.microsoft.com/office/drawing/2014/main" id="{00000000-0008-0000-0300-000007110000}"/>
            </a:ext>
          </a:extLst>
        </xdr:cNvPr>
        <xdr:cNvSpPr>
          <a:spLocks noChangeArrowheads="1"/>
        </xdr:cNvSpPr>
      </xdr:nvSpPr>
      <xdr:spPr bwMode="auto">
        <a:xfrm>
          <a:off x="7353300" y="3924300"/>
          <a:ext cx="320040" cy="350520"/>
        </a:xfrm>
        <a:prstGeom prst="downArrow">
          <a:avLst>
            <a:gd name="adj1" fmla="val 50000"/>
            <a:gd name="adj2" fmla="val 27381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</xdr:colOff>
      <xdr:row>26</xdr:row>
      <xdr:rowOff>91440</xdr:rowOff>
    </xdr:from>
    <xdr:to>
      <xdr:col>16</xdr:col>
      <xdr:colOff>609600</xdr:colOff>
      <xdr:row>26</xdr:row>
      <xdr:rowOff>106680</xdr:rowOff>
    </xdr:to>
    <xdr:sp macro="" textlink="">
      <xdr:nvSpPr>
        <xdr:cNvPr id="4360" name="Line 18">
          <a:extLst>
            <a:ext uri="{FF2B5EF4-FFF2-40B4-BE49-F238E27FC236}">
              <a16:creationId xmlns:a16="http://schemas.microsoft.com/office/drawing/2014/main" id="{00000000-0008-0000-0300-000008110000}"/>
            </a:ext>
          </a:extLst>
        </xdr:cNvPr>
        <xdr:cNvSpPr>
          <a:spLocks noChangeShapeType="1"/>
        </xdr:cNvSpPr>
      </xdr:nvSpPr>
      <xdr:spPr bwMode="auto">
        <a:xfrm flipV="1">
          <a:off x="22860" y="5349240"/>
          <a:ext cx="11102340" cy="15240"/>
        </a:xfrm>
        <a:prstGeom prst="line">
          <a:avLst/>
        </a:prstGeom>
        <a:noFill/>
        <a:ln w="50800">
          <a:solidFill>
            <a:srgbClr val="00008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441960</xdr:colOff>
      <xdr:row>23</xdr:row>
      <xdr:rowOff>0</xdr:rowOff>
    </xdr:from>
    <xdr:to>
      <xdr:col>7</xdr:col>
      <xdr:colOff>91440</xdr:colOff>
      <xdr:row>30</xdr:row>
      <xdr:rowOff>22860</xdr:rowOff>
    </xdr:to>
    <xdr:sp macro="" textlink="">
      <xdr:nvSpPr>
        <xdr:cNvPr id="4361" name="AutoShape 19">
          <a:extLst>
            <a:ext uri="{FF2B5EF4-FFF2-40B4-BE49-F238E27FC236}">
              <a16:creationId xmlns:a16="http://schemas.microsoft.com/office/drawing/2014/main" id="{00000000-0008-0000-0300-000009110000}"/>
            </a:ext>
          </a:extLst>
        </xdr:cNvPr>
        <xdr:cNvSpPr>
          <a:spLocks noChangeArrowheads="1"/>
        </xdr:cNvSpPr>
      </xdr:nvSpPr>
      <xdr:spPr bwMode="auto">
        <a:xfrm rot="2700000">
          <a:off x="4232910" y="5147310"/>
          <a:ext cx="1569720" cy="312420"/>
        </a:xfrm>
        <a:prstGeom prst="rightArrow">
          <a:avLst>
            <a:gd name="adj1" fmla="val 50000"/>
            <a:gd name="adj2" fmla="val 125610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472440</xdr:colOff>
      <xdr:row>32</xdr:row>
      <xdr:rowOff>68580</xdr:rowOff>
    </xdr:from>
    <xdr:to>
      <xdr:col>11</xdr:col>
      <xdr:colOff>137160</xdr:colOff>
      <xdr:row>41</xdr:row>
      <xdr:rowOff>137160</xdr:rowOff>
    </xdr:to>
    <xdr:sp macro="" textlink="">
      <xdr:nvSpPr>
        <xdr:cNvPr id="4362" name="AutoShape 21">
          <a:extLst>
            <a:ext uri="{FF2B5EF4-FFF2-40B4-BE49-F238E27FC236}">
              <a16:creationId xmlns:a16="http://schemas.microsoft.com/office/drawing/2014/main" id="{00000000-0008-0000-0300-00000A110000}"/>
            </a:ext>
          </a:extLst>
        </xdr:cNvPr>
        <xdr:cNvSpPr>
          <a:spLocks noChangeArrowheads="1"/>
        </xdr:cNvSpPr>
      </xdr:nvSpPr>
      <xdr:spPr bwMode="auto">
        <a:xfrm>
          <a:off x="6096000" y="6492240"/>
          <a:ext cx="1607820" cy="2057400"/>
        </a:xfrm>
        <a:prstGeom prst="flowChartProcess">
          <a:avLst/>
        </a:prstGeom>
        <a:noFill/>
        <a:ln w="25400">
          <a:solidFill>
            <a:srgbClr val="00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556260</xdr:colOff>
      <xdr:row>41</xdr:row>
      <xdr:rowOff>167640</xdr:rowOff>
    </xdr:from>
    <xdr:to>
      <xdr:col>10</xdr:col>
      <xdr:colOff>106680</xdr:colOff>
      <xdr:row>42</xdr:row>
      <xdr:rowOff>198120</xdr:rowOff>
    </xdr:to>
    <xdr:sp macro="" textlink="">
      <xdr:nvSpPr>
        <xdr:cNvPr id="4363" name="AutoShape 22">
          <a:extLst>
            <a:ext uri="{FF2B5EF4-FFF2-40B4-BE49-F238E27FC236}">
              <a16:creationId xmlns:a16="http://schemas.microsoft.com/office/drawing/2014/main" id="{00000000-0008-0000-0300-00000B110000}"/>
            </a:ext>
          </a:extLst>
        </xdr:cNvPr>
        <xdr:cNvSpPr>
          <a:spLocks noChangeArrowheads="1"/>
        </xdr:cNvSpPr>
      </xdr:nvSpPr>
      <xdr:spPr bwMode="auto">
        <a:xfrm>
          <a:off x="6728460" y="8580120"/>
          <a:ext cx="160020" cy="205740"/>
        </a:xfrm>
        <a:prstGeom prst="downArrow">
          <a:avLst>
            <a:gd name="adj1" fmla="val 50000"/>
            <a:gd name="adj2" fmla="val 32143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137160</xdr:colOff>
      <xdr:row>41</xdr:row>
      <xdr:rowOff>60960</xdr:rowOff>
    </xdr:from>
    <xdr:to>
      <xdr:col>5</xdr:col>
      <xdr:colOff>388620</xdr:colOff>
      <xdr:row>42</xdr:row>
      <xdr:rowOff>167640</xdr:rowOff>
    </xdr:to>
    <xdr:sp macro="" textlink="">
      <xdr:nvSpPr>
        <xdr:cNvPr id="4364" name="AutoShape 23">
          <a:extLst>
            <a:ext uri="{FF2B5EF4-FFF2-40B4-BE49-F238E27FC236}">
              <a16:creationId xmlns:a16="http://schemas.microsoft.com/office/drawing/2014/main" id="{00000000-0008-0000-0300-00000C110000}"/>
            </a:ext>
          </a:extLst>
        </xdr:cNvPr>
        <xdr:cNvSpPr>
          <a:spLocks noChangeArrowheads="1"/>
        </xdr:cNvSpPr>
      </xdr:nvSpPr>
      <xdr:spPr bwMode="auto">
        <a:xfrm>
          <a:off x="3962400" y="8473440"/>
          <a:ext cx="251460" cy="281940"/>
        </a:xfrm>
        <a:prstGeom prst="downArrow">
          <a:avLst>
            <a:gd name="adj1" fmla="val 50000"/>
            <a:gd name="adj2" fmla="val 28030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68580</xdr:colOff>
      <xdr:row>27</xdr:row>
      <xdr:rowOff>0</xdr:rowOff>
    </xdr:from>
    <xdr:to>
      <xdr:col>13</xdr:col>
      <xdr:colOff>68580</xdr:colOff>
      <xdr:row>48</xdr:row>
      <xdr:rowOff>68580</xdr:rowOff>
    </xdr:to>
    <xdr:sp macro="" textlink="">
      <xdr:nvSpPr>
        <xdr:cNvPr id="4365" name="Line 24">
          <a:extLst>
            <a:ext uri="{FF2B5EF4-FFF2-40B4-BE49-F238E27FC236}">
              <a16:creationId xmlns:a16="http://schemas.microsoft.com/office/drawing/2014/main" id="{00000000-0008-0000-0300-00000D110000}"/>
            </a:ext>
          </a:extLst>
        </xdr:cNvPr>
        <xdr:cNvSpPr>
          <a:spLocks noChangeShapeType="1"/>
        </xdr:cNvSpPr>
      </xdr:nvSpPr>
      <xdr:spPr bwMode="auto">
        <a:xfrm>
          <a:off x="8778240" y="5425440"/>
          <a:ext cx="0" cy="4358640"/>
        </a:xfrm>
        <a:prstGeom prst="line">
          <a:avLst/>
        </a:prstGeom>
        <a:noFill/>
        <a:ln w="50800">
          <a:solidFill>
            <a:srgbClr val="00008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13</xdr:col>
      <xdr:colOff>205740</xdr:colOff>
      <xdr:row>3</xdr:row>
      <xdr:rowOff>0</xdr:rowOff>
    </xdr:from>
    <xdr:to>
      <xdr:col>16</xdr:col>
      <xdr:colOff>251460</xdr:colOff>
      <xdr:row>9</xdr:row>
      <xdr:rowOff>175260</xdr:rowOff>
    </xdr:to>
    <xdr:pic>
      <xdr:nvPicPr>
        <xdr:cNvPr id="4366" name="Picture 28">
          <a:extLst>
            <a:ext uri="{FF2B5EF4-FFF2-40B4-BE49-F238E27FC236}">
              <a16:creationId xmlns:a16="http://schemas.microsoft.com/office/drawing/2014/main" id="{00000000-0008-0000-0300-00000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426720"/>
          <a:ext cx="2004060" cy="1356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16</xdr:col>
          <xdr:colOff>476250</xdr:colOff>
          <xdr:row>57</xdr:row>
          <xdr:rowOff>152401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134F7656-C060-41B7-B296-465E4AE3CB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302F934-C398-4265-B231-687492270E7B}" name="Table2" displayName="Table2" ref="A2:E8" totalsRowShown="0" headerRowDxfId="17">
  <autoFilter ref="A2:E8" xr:uid="{C85F1040-1E0C-4B71-9A50-13AE8A6E3B9B}"/>
  <tableColumns count="5">
    <tableColumn id="1" xr3:uid="{912E6808-0BB2-4551-8C2C-F067812EF4D8}" name="Site or Segment"/>
    <tableColumn id="2" xr3:uid="{89CA53FD-1FC0-41D4-A9FC-45DEC97B42D7}" name="Length (feet)" dataDxfId="16"/>
    <tableColumn id="3" xr3:uid="{138E0280-99A2-40FE-83D8-3536922F23D8}" name="Width (feet) " dataDxfId="15"/>
    <tableColumn id="4" xr3:uid="{D9E20ECD-BBB2-43D6-A35D-378424735AA1}" name="Height (feet)" dataDxfId="14"/>
    <tableColumn id="5" xr3:uid="{13BAEC25-26D7-4A92-ACAE-560FC3AA40B7}" name="Volume (ft3)" dataDxfId="13">
      <calculatedColumnFormula>B3*C3*D3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C2C843-529C-494A-A44E-E06B99696062}" name="Table1" displayName="Table1" ref="A11:F17" totalsRowShown="0" headerRowDxfId="12">
  <autoFilter ref="A11:F17" xr:uid="{AF4040C7-ACB9-4FBA-8E0D-B996CED69E04}"/>
  <tableColumns count="6">
    <tableColumn id="1" xr3:uid="{623D1D19-02AD-4D2B-AF51-937F7CC9D77D}" name="Site or Segment"/>
    <tableColumn id="2" xr3:uid="{AE25E7A7-8EC6-477B-9B86-621D5EEE3BE9}" name="Length (feet)"/>
    <tableColumn id="3" xr3:uid="{66221C3D-F04D-4687-85F2-387536A0B385}" name="Height (feet)"/>
    <tableColumn id="4" xr3:uid="{364D85D4-D657-4422-9DEF-89172ECDE18C}" name="Top Width A (feet)"/>
    <tableColumn id="5" xr3:uid="{60066A51-3FDC-4EA2-AA8B-E4B5651B53DE}" name="Bottom Width B (feet)"/>
    <tableColumn id="6" xr3:uid="{22563955-A6B2-485F-926D-2809BB34A9B0}" name="Volume (ft3)" dataDxfId="11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8AEDCDB-EDAE-4FEA-AAA8-2F9B1890B272}" name="Table5" displayName="Table5" ref="A20:E26" totalsRowShown="0" headerRowDxfId="10" dataDxfId="9">
  <autoFilter ref="A20:E26" xr:uid="{F3F13B7E-5C9C-4FA1-B018-938D5468038D}"/>
  <tableColumns count="5">
    <tableColumn id="1" xr3:uid="{72731CA3-82BE-4487-84A5-5C596472E7D1}" name="Site or Segment" dataDxfId="8"/>
    <tableColumn id="2" xr3:uid="{825E41EC-0A0A-441B-B14D-4DB52E4B9659}" name="Length (feet)" dataDxfId="7"/>
    <tableColumn id="3" xr3:uid="{438581C5-7783-4CB6-B37C-A2E2C020B5BF}" name="Height (feet)" dataDxfId="6"/>
    <tableColumn id="4" xr3:uid="{4A7E87C4-9A9E-4518-B119-7C70C1E51EAB}" name="Width (feet)" dataDxfId="5"/>
    <tableColumn id="5" xr3:uid="{1C15A4B9-2C42-4DEF-93F7-55B4E11F875F}" name="Volume (ft3)" dataDxfId="4">
      <calculatedColumnFormula>B21*C21*D21/2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3EFBCEE-EF8C-4AB1-9987-044E37767AF8}" name="Table4" displayName="Table4" ref="A1:C11" totalsRowShown="0" headerRowDxfId="3">
  <autoFilter ref="A1:C11" xr:uid="{34045003-B275-463F-AD15-2176306CD088}"/>
  <tableColumns count="3">
    <tableColumn id="1" xr3:uid="{D82AF966-D2DE-446F-B630-AF9F334F16B3}" name="Project Number" dataDxfId="2"/>
    <tableColumn id="2" xr3:uid="{63EFE740-9138-4F30-9A4E-7D38554BEE81}" name="Notes" dataDxfId="1"/>
    <tableColumn id="3" xr3:uid="{722BD739-23B8-4698-8493-94E5D6B47EEB}" name="Dat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showGridLines="0" tabSelected="1" zoomScale="80" zoomScaleNormal="80" workbookViewId="0">
      <selection activeCell="B27" sqref="B27"/>
    </sheetView>
  </sheetViews>
  <sheetFormatPr defaultRowHeight="12.75" x14ac:dyDescent="0.2"/>
  <cols>
    <col min="1" max="1" width="26.5703125" customWidth="1"/>
    <col min="2" max="2" width="7.5703125" customWidth="1"/>
    <col min="3" max="3" width="3.28515625" style="2" customWidth="1"/>
    <col min="4" max="4" width="15.42578125" customWidth="1"/>
    <col min="5" max="5" width="8.140625" style="26" customWidth="1"/>
    <col min="6" max="6" width="2.85546875" customWidth="1"/>
    <col min="7" max="7" width="16.42578125" style="2" customWidth="1"/>
    <col min="8" max="8" width="2.7109375" customWidth="1"/>
    <col min="9" max="9" width="12.42578125" customWidth="1"/>
    <col min="10" max="10" width="5.85546875" style="26" customWidth="1"/>
    <col min="11" max="11" width="4" customWidth="1"/>
    <col min="12" max="12" width="11.42578125" customWidth="1"/>
    <col min="13" max="13" width="14.42578125" style="26" customWidth="1"/>
    <col min="14" max="14" width="9.5703125" customWidth="1"/>
    <col min="15" max="15" width="11" customWidth="1"/>
  </cols>
  <sheetData>
    <row r="1" spans="1:18" ht="18.75" thickBot="1" x14ac:dyDescent="0.3">
      <c r="A1" s="153" t="s">
        <v>185</v>
      </c>
      <c r="B1" s="154"/>
      <c r="C1" s="155"/>
      <c r="D1" s="154"/>
      <c r="E1" s="156"/>
      <c r="F1" s="154"/>
      <c r="G1" s="155"/>
      <c r="H1" s="154"/>
      <c r="I1" s="154"/>
      <c r="J1" s="156"/>
      <c r="K1" s="154"/>
      <c r="L1" s="154"/>
      <c r="M1" s="156"/>
      <c r="N1" s="154"/>
      <c r="O1" s="154"/>
      <c r="P1" s="154"/>
      <c r="Q1" s="154"/>
      <c r="R1" s="157"/>
    </row>
    <row r="2" spans="1:18" ht="16.5" thickBot="1" x14ac:dyDescent="0.35">
      <c r="A2" s="3" t="s">
        <v>2</v>
      </c>
      <c r="B2" s="4"/>
      <c r="C2" s="51"/>
      <c r="D2" s="50" t="s">
        <v>12</v>
      </c>
      <c r="E2" s="27" t="s">
        <v>11</v>
      </c>
      <c r="F2" s="15"/>
      <c r="G2" s="21" t="s">
        <v>21</v>
      </c>
      <c r="H2" s="15"/>
      <c r="I2" s="3" t="s">
        <v>28</v>
      </c>
      <c r="J2" s="33"/>
      <c r="K2" s="15"/>
      <c r="L2" s="15"/>
      <c r="M2" s="37"/>
      <c r="N2" s="15"/>
      <c r="O2" s="15"/>
      <c r="P2" s="15"/>
      <c r="Q2" s="15"/>
      <c r="R2" s="158"/>
    </row>
    <row r="3" spans="1:18" ht="13.5" thickBot="1" x14ac:dyDescent="0.25">
      <c r="A3" s="5" t="s">
        <v>0</v>
      </c>
      <c r="B3" s="105">
        <v>1.5</v>
      </c>
      <c r="C3" s="52"/>
      <c r="D3" s="20" t="s">
        <v>30</v>
      </c>
      <c r="E3" s="28">
        <f>+$B$3*$E$11</f>
        <v>0.46086621420683493</v>
      </c>
      <c r="F3" s="15"/>
      <c r="G3" s="22" t="s">
        <v>20</v>
      </c>
      <c r="H3" s="15"/>
      <c r="I3" s="24" t="s">
        <v>32</v>
      </c>
      <c r="J3" s="40">
        <f>$G$7*E3</f>
        <v>0.46086621420683493</v>
      </c>
      <c r="K3" s="15"/>
      <c r="L3" s="15"/>
      <c r="M3" s="37"/>
      <c r="N3" s="15"/>
      <c r="O3" s="15"/>
      <c r="P3" s="15"/>
      <c r="Q3" s="15"/>
      <c r="R3" s="158"/>
    </row>
    <row r="4" spans="1:18" ht="13.5" thickBot="1" x14ac:dyDescent="0.25">
      <c r="A4" s="6" t="s">
        <v>1</v>
      </c>
      <c r="B4" s="7"/>
      <c r="C4" s="52"/>
      <c r="D4" s="16" t="s">
        <v>27</v>
      </c>
      <c r="E4" s="29"/>
      <c r="F4" s="15"/>
      <c r="G4" s="22" t="s">
        <v>22</v>
      </c>
      <c r="H4" s="15"/>
      <c r="I4" s="5" t="s">
        <v>33</v>
      </c>
      <c r="J4" s="38"/>
      <c r="K4" s="15"/>
      <c r="L4" s="15"/>
      <c r="M4" s="37"/>
      <c r="N4" s="15"/>
      <c r="O4" s="15"/>
      <c r="P4" s="15"/>
      <c r="Q4" s="15"/>
      <c r="R4" s="158"/>
    </row>
    <row r="5" spans="1:18" ht="13.5" thickBot="1" x14ac:dyDescent="0.25">
      <c r="A5" s="25"/>
      <c r="B5" s="15"/>
      <c r="C5" s="52"/>
      <c r="D5" s="17"/>
      <c r="E5" s="30"/>
      <c r="F5" s="15"/>
      <c r="G5" s="107" t="s">
        <v>182</v>
      </c>
      <c r="H5" s="15"/>
      <c r="I5" s="25"/>
      <c r="J5" s="39"/>
      <c r="K5" s="15"/>
      <c r="L5" s="9" t="s">
        <v>35</v>
      </c>
      <c r="M5" s="42"/>
      <c r="N5" s="10"/>
      <c r="O5" s="15"/>
      <c r="P5" s="15"/>
      <c r="Q5" s="15"/>
      <c r="R5" s="158"/>
    </row>
    <row r="6" spans="1:18" ht="17.25" thickTop="1" thickBot="1" x14ac:dyDescent="0.35">
      <c r="A6" s="3" t="s">
        <v>4</v>
      </c>
      <c r="B6" s="4"/>
      <c r="C6" s="52"/>
      <c r="D6" s="18" t="s">
        <v>13</v>
      </c>
      <c r="E6" s="31"/>
      <c r="F6" s="15"/>
      <c r="G6" s="22"/>
      <c r="H6" s="15"/>
      <c r="I6" s="5" t="s">
        <v>29</v>
      </c>
      <c r="J6" s="38"/>
      <c r="K6" s="15"/>
      <c r="L6" s="41" t="s">
        <v>36</v>
      </c>
      <c r="M6" s="43"/>
      <c r="N6" s="124">
        <f>(+$J$3-$J$7)*$B$29</f>
        <v>7.988347712918471</v>
      </c>
      <c r="O6" s="15"/>
      <c r="P6" s="15"/>
      <c r="Q6" s="15"/>
      <c r="R6" s="158"/>
    </row>
    <row r="7" spans="1:18" ht="14.25" thickTop="1" thickBot="1" x14ac:dyDescent="0.25">
      <c r="A7" s="5" t="s">
        <v>3</v>
      </c>
      <c r="B7" s="105">
        <v>0.5</v>
      </c>
      <c r="C7" s="52"/>
      <c r="D7" s="20" t="s">
        <v>31</v>
      </c>
      <c r="E7" s="28">
        <f>+$B$7*$E$11</f>
        <v>0.15362207140227832</v>
      </c>
      <c r="F7" s="15"/>
      <c r="G7" s="49">
        <f>IF($G$5="Y",0.35,1)</f>
        <v>1</v>
      </c>
      <c r="H7" s="15"/>
      <c r="I7" s="24" t="s">
        <v>34</v>
      </c>
      <c r="J7" s="40">
        <f>$G$7*E7</f>
        <v>0.15362207140227832</v>
      </c>
      <c r="K7" s="15"/>
      <c r="L7" s="87" t="s">
        <v>163</v>
      </c>
      <c r="M7" s="119"/>
      <c r="N7" s="91" t="s">
        <v>113</v>
      </c>
      <c r="O7" s="15"/>
      <c r="P7" s="15"/>
      <c r="Q7" s="15"/>
      <c r="R7" s="158"/>
    </row>
    <row r="8" spans="1:18" ht="13.5" thickBot="1" x14ac:dyDescent="0.25">
      <c r="A8" s="6" t="s">
        <v>1</v>
      </c>
      <c r="B8" s="7"/>
      <c r="C8" s="52"/>
      <c r="D8" s="19" t="s">
        <v>26</v>
      </c>
      <c r="E8" s="32"/>
      <c r="F8" s="15"/>
      <c r="G8" s="22" t="s">
        <v>23</v>
      </c>
      <c r="H8" s="15"/>
      <c r="I8" s="6" t="s">
        <v>33</v>
      </c>
      <c r="J8" s="35"/>
      <c r="K8" s="15"/>
      <c r="L8" s="15"/>
      <c r="M8" s="37"/>
      <c r="N8" s="15"/>
      <c r="O8" s="15"/>
      <c r="P8" s="15"/>
      <c r="Q8" s="15"/>
      <c r="R8" s="158"/>
    </row>
    <row r="9" spans="1:18" ht="13.5" thickBot="1" x14ac:dyDescent="0.25">
      <c r="A9" s="25"/>
      <c r="B9" s="15"/>
      <c r="C9" s="52"/>
      <c r="D9" s="15"/>
      <c r="E9" s="37"/>
      <c r="F9" s="15"/>
      <c r="G9" s="22" t="s">
        <v>24</v>
      </c>
      <c r="H9" s="15"/>
      <c r="I9" s="15"/>
      <c r="J9" s="37"/>
      <c r="K9" s="15"/>
      <c r="L9" s="15"/>
      <c r="M9" s="37"/>
      <c r="N9" s="15"/>
      <c r="O9" s="15"/>
      <c r="P9" s="15"/>
      <c r="Q9" s="15"/>
      <c r="R9" s="158"/>
    </row>
    <row r="10" spans="1:18" ht="14.25" thickBot="1" x14ac:dyDescent="0.3">
      <c r="A10" s="3" t="s">
        <v>5</v>
      </c>
      <c r="B10" s="4"/>
      <c r="C10" s="52"/>
      <c r="D10" s="3"/>
      <c r="E10" s="33"/>
      <c r="F10" s="15"/>
      <c r="G10" s="23" t="s">
        <v>25</v>
      </c>
      <c r="H10" s="15"/>
      <c r="I10" s="15"/>
      <c r="J10" s="37"/>
      <c r="K10" s="15"/>
      <c r="L10" s="3" t="s">
        <v>39</v>
      </c>
      <c r="M10" s="33"/>
      <c r="N10" s="159">
        <v>1</v>
      </c>
      <c r="O10" s="71">
        <f>IF($B$22=1,1.3479*(($J$3)^0.8024),+$O$11)</f>
        <v>0.72395262999355769</v>
      </c>
      <c r="P10" s="15"/>
      <c r="Q10" s="15"/>
      <c r="R10" s="158"/>
    </row>
    <row r="11" spans="1:18" ht="14.25" thickBot="1" x14ac:dyDescent="0.3">
      <c r="A11" s="5" t="s">
        <v>6</v>
      </c>
      <c r="B11" s="105">
        <v>300</v>
      </c>
      <c r="C11" s="160"/>
      <c r="D11" s="14" t="s">
        <v>10</v>
      </c>
      <c r="E11" s="34">
        <f>(+$B$11)^-0.2069</f>
        <v>0.30724414280455664</v>
      </c>
      <c r="F11" s="15"/>
      <c r="G11" s="52"/>
      <c r="H11" s="15"/>
      <c r="I11" s="15"/>
      <c r="J11" s="37"/>
      <c r="K11" s="15"/>
      <c r="L11" s="5" t="s">
        <v>40</v>
      </c>
      <c r="M11" s="40">
        <f>IF($B$22=1,+$O$10,+$O$11)</f>
        <v>0.72395262999355769</v>
      </c>
      <c r="N11" s="159">
        <v>2</v>
      </c>
      <c r="O11" s="71">
        <f>IF($B$22=2,1.5999*(($J$3)^0.7998),+$O$12)</f>
        <v>0</v>
      </c>
      <c r="P11" s="15"/>
      <c r="Q11" s="15"/>
      <c r="R11" s="158"/>
    </row>
    <row r="12" spans="1:18" ht="14.25" thickBot="1" x14ac:dyDescent="0.3">
      <c r="A12" s="6" t="s">
        <v>14</v>
      </c>
      <c r="B12" s="7"/>
      <c r="C12" s="52"/>
      <c r="D12" s="6"/>
      <c r="E12" s="35"/>
      <c r="F12" s="15"/>
      <c r="G12" s="52"/>
      <c r="H12" s="15"/>
      <c r="I12" s="15"/>
      <c r="J12" s="37"/>
      <c r="K12" s="15"/>
      <c r="L12" s="6" t="s">
        <v>37</v>
      </c>
      <c r="M12" s="35"/>
      <c r="N12" s="159">
        <v>3</v>
      </c>
      <c r="O12" s="71">
        <f>IF($B$22=3,1.8429*(($J$3)^0.7993),+$O$13)</f>
        <v>0</v>
      </c>
      <c r="P12" s="15"/>
      <c r="Q12" s="15"/>
      <c r="R12" s="158"/>
    </row>
    <row r="13" spans="1:18" ht="14.25" thickBot="1" x14ac:dyDescent="0.3">
      <c r="A13" s="161"/>
      <c r="B13" s="8"/>
      <c r="C13" s="52"/>
      <c r="D13" s="8"/>
      <c r="E13" s="36"/>
      <c r="F13" s="15"/>
      <c r="G13" s="52"/>
      <c r="H13" s="15"/>
      <c r="I13" s="15"/>
      <c r="J13" s="37"/>
      <c r="K13" s="15"/>
      <c r="L13" s="15"/>
      <c r="M13" s="37"/>
      <c r="N13" s="159">
        <v>4</v>
      </c>
      <c r="O13" s="71">
        <f>IF($B$22=4,2.2064*(($J$3)^0.8223),0)</f>
        <v>0</v>
      </c>
      <c r="P13" s="15"/>
      <c r="Q13" s="15"/>
      <c r="R13" s="158"/>
    </row>
    <row r="14" spans="1:18" ht="14.25" thickBot="1" x14ac:dyDescent="0.3">
      <c r="A14" s="5" t="s">
        <v>15</v>
      </c>
      <c r="B14" s="57"/>
      <c r="C14" s="52"/>
      <c r="D14" s="15"/>
      <c r="E14" s="37"/>
      <c r="F14" s="15"/>
      <c r="G14" s="52"/>
      <c r="H14" s="15"/>
      <c r="I14" s="15"/>
      <c r="J14" s="37"/>
      <c r="K14" s="15"/>
      <c r="L14" s="15"/>
      <c r="M14" s="37"/>
      <c r="N14" s="159"/>
      <c r="O14" s="159"/>
      <c r="P14" s="15"/>
      <c r="Q14" s="15"/>
      <c r="R14" s="158"/>
    </row>
    <row r="15" spans="1:18" ht="14.25" thickBot="1" x14ac:dyDescent="0.3">
      <c r="A15" s="5" t="s">
        <v>16</v>
      </c>
      <c r="B15" s="34">
        <f>+$B$3-$B$7</f>
        <v>1</v>
      </c>
      <c r="C15" s="52"/>
      <c r="D15" s="15"/>
      <c r="E15" s="37"/>
      <c r="F15" s="15"/>
      <c r="G15" s="52"/>
      <c r="H15" s="15"/>
      <c r="I15" s="15"/>
      <c r="J15" s="37"/>
      <c r="K15" s="15"/>
      <c r="L15" s="3" t="s">
        <v>38</v>
      </c>
      <c r="M15" s="33"/>
      <c r="N15" s="159">
        <v>1</v>
      </c>
      <c r="O15" s="71">
        <f>IF($B$22=1,1.3479*(($J$7)^0.8024),+$O$16)</f>
        <v>0.29982514706852492</v>
      </c>
      <c r="P15" s="15"/>
      <c r="Q15" s="15"/>
      <c r="R15" s="158"/>
    </row>
    <row r="16" spans="1:18" ht="14.25" thickBot="1" x14ac:dyDescent="0.3">
      <c r="A16" s="5" t="s">
        <v>17</v>
      </c>
      <c r="B16" s="57"/>
      <c r="C16" s="52"/>
      <c r="D16" s="15"/>
      <c r="E16" s="37"/>
      <c r="F16" s="15"/>
      <c r="G16" s="52"/>
      <c r="H16" s="15"/>
      <c r="I16" s="15"/>
      <c r="J16" s="37"/>
      <c r="K16" s="15"/>
      <c r="L16" s="5" t="s">
        <v>41</v>
      </c>
      <c r="M16" s="40">
        <f>IF($B$22=1,+$O$15,+$O$16)</f>
        <v>0.29982514706852492</v>
      </c>
      <c r="N16" s="159">
        <v>2</v>
      </c>
      <c r="O16" s="71">
        <f>IF($B$22=2,1.5999*(($J$7)^0.7998),+$O$17)</f>
        <v>0</v>
      </c>
      <c r="P16" s="15"/>
      <c r="Q16" s="15"/>
      <c r="R16" s="158"/>
    </row>
    <row r="17" spans="1:18" ht="14.25" thickBot="1" x14ac:dyDescent="0.3">
      <c r="A17" s="25"/>
      <c r="B17" s="15"/>
      <c r="C17" s="52"/>
      <c r="D17" s="15"/>
      <c r="E17" s="37"/>
      <c r="F17" s="15"/>
      <c r="G17" s="52"/>
      <c r="H17" s="15"/>
      <c r="I17" s="15"/>
      <c r="J17" s="37"/>
      <c r="K17" s="15"/>
      <c r="L17" s="6" t="s">
        <v>37</v>
      </c>
      <c r="M17" s="35"/>
      <c r="N17" s="159">
        <v>3</v>
      </c>
      <c r="O17" s="71">
        <f>IF($B$22=3,1.8429*(($J$7)^0.7993),+$O$18)</f>
        <v>0</v>
      </c>
      <c r="P17" s="15"/>
      <c r="Q17" s="15"/>
      <c r="R17" s="158"/>
    </row>
    <row r="18" spans="1:18" ht="14.25" thickBot="1" x14ac:dyDescent="0.3">
      <c r="A18" s="162" t="s">
        <v>18</v>
      </c>
      <c r="B18" s="10"/>
      <c r="C18" s="52"/>
      <c r="D18" s="15"/>
      <c r="E18" s="37"/>
      <c r="F18" s="15"/>
      <c r="G18" s="52"/>
      <c r="H18" s="15"/>
      <c r="I18" s="15"/>
      <c r="J18" s="37"/>
      <c r="K18" s="15"/>
      <c r="L18" s="15"/>
      <c r="M18" s="37"/>
      <c r="N18" s="159">
        <v>4</v>
      </c>
      <c r="O18" s="71">
        <f>IF($B$22=4,2.2064*(($J$7)^0.8223),0)</f>
        <v>0</v>
      </c>
      <c r="P18" s="15"/>
      <c r="Q18" s="15"/>
      <c r="R18" s="158"/>
    </row>
    <row r="19" spans="1:18" ht="14.25" thickTop="1" thickBot="1" x14ac:dyDescent="0.25">
      <c r="A19" s="63" t="s">
        <v>19</v>
      </c>
      <c r="B19" s="124">
        <f>+$B$15*$B$27</f>
        <v>40</v>
      </c>
      <c r="C19" s="52"/>
      <c r="D19" s="15"/>
      <c r="E19" s="37"/>
      <c r="F19" s="15"/>
      <c r="G19" s="52"/>
      <c r="H19" s="15"/>
      <c r="I19" s="15"/>
      <c r="J19" s="37"/>
      <c r="K19" s="15"/>
      <c r="L19" s="15"/>
      <c r="M19" s="37"/>
      <c r="N19" s="15"/>
      <c r="O19" s="15"/>
      <c r="P19" s="15"/>
      <c r="Q19" s="15"/>
      <c r="R19" s="158"/>
    </row>
    <row r="20" spans="1:18" ht="14.25" thickTop="1" thickBot="1" x14ac:dyDescent="0.25">
      <c r="A20" s="163"/>
      <c r="B20" s="13"/>
      <c r="C20" s="52"/>
      <c r="D20" s="15"/>
      <c r="E20" s="37"/>
      <c r="F20" s="15"/>
      <c r="G20" s="52"/>
      <c r="H20" s="15"/>
      <c r="I20" s="15"/>
      <c r="J20" s="37"/>
      <c r="K20" s="15"/>
      <c r="L20" s="15"/>
      <c r="M20" s="37"/>
      <c r="N20" s="15"/>
      <c r="O20" s="15"/>
      <c r="P20" s="15"/>
      <c r="Q20" s="15"/>
      <c r="R20" s="158"/>
    </row>
    <row r="21" spans="1:18" ht="13.5" thickBot="1" x14ac:dyDescent="0.25">
      <c r="A21" s="25"/>
      <c r="B21" s="15"/>
      <c r="C21" s="52"/>
      <c r="D21" s="15"/>
      <c r="E21" s="37"/>
      <c r="F21" s="15"/>
      <c r="G21" s="52"/>
      <c r="H21" s="15"/>
      <c r="I21" s="15"/>
      <c r="J21" s="37"/>
      <c r="K21" s="15"/>
      <c r="L21" s="15"/>
      <c r="M21" s="37"/>
      <c r="N21" s="15"/>
      <c r="O21" s="15"/>
      <c r="P21" s="15"/>
      <c r="Q21" s="15"/>
      <c r="R21" s="158"/>
    </row>
    <row r="22" spans="1:18" ht="27" thickTop="1" thickBot="1" x14ac:dyDescent="0.25">
      <c r="A22" s="164" t="s">
        <v>183</v>
      </c>
      <c r="B22" s="105">
        <v>1</v>
      </c>
      <c r="C22" s="52"/>
      <c r="D22" s="15"/>
      <c r="E22" s="37"/>
      <c r="F22" s="15"/>
      <c r="G22" s="52"/>
      <c r="H22" s="15"/>
      <c r="I22" s="15"/>
      <c r="J22" s="37"/>
      <c r="K22" s="44" t="s">
        <v>43</v>
      </c>
      <c r="L22" s="45"/>
      <c r="M22" s="46"/>
      <c r="N22" s="15"/>
      <c r="O22" s="15"/>
      <c r="P22" s="15"/>
      <c r="Q22" s="15"/>
      <c r="R22" s="158"/>
    </row>
    <row r="23" spans="1:18" ht="14.25" thickTop="1" thickBot="1" x14ac:dyDescent="0.25">
      <c r="A23" s="25"/>
      <c r="B23" s="15"/>
      <c r="C23" s="52"/>
      <c r="D23" s="15"/>
      <c r="E23" s="37"/>
      <c r="F23" s="15"/>
      <c r="G23" s="52"/>
      <c r="H23" s="15"/>
      <c r="I23" s="15"/>
      <c r="J23" s="37"/>
      <c r="K23" s="47" t="s">
        <v>44</v>
      </c>
      <c r="L23" s="43"/>
      <c r="M23" s="124">
        <f>(+$M$11-$M$16)*$B$29</f>
        <v>11.027314556050852</v>
      </c>
      <c r="N23" s="15"/>
      <c r="O23" s="15"/>
      <c r="P23" s="15"/>
      <c r="Q23" s="15"/>
      <c r="R23" s="158"/>
    </row>
    <row r="24" spans="1:18" ht="14.25" thickTop="1" thickBot="1" x14ac:dyDescent="0.25">
      <c r="A24" s="25"/>
      <c r="B24" s="15"/>
      <c r="C24" s="52"/>
      <c r="H24" s="15"/>
      <c r="I24" s="15"/>
      <c r="J24" s="37"/>
      <c r="K24" s="120" t="s">
        <v>42</v>
      </c>
      <c r="L24" s="121"/>
      <c r="M24" s="122"/>
      <c r="N24" s="15"/>
      <c r="O24" s="15"/>
      <c r="P24" s="15"/>
      <c r="Q24" s="15"/>
      <c r="R24" s="158"/>
    </row>
    <row r="25" spans="1:18" ht="13.5" thickTop="1" x14ac:dyDescent="0.2">
      <c r="A25" s="25"/>
      <c r="B25" s="15"/>
      <c r="C25" s="52"/>
      <c r="H25" s="15"/>
      <c r="I25" s="15"/>
      <c r="J25" s="37"/>
      <c r="K25" s="15"/>
      <c r="L25" s="15"/>
      <c r="M25" s="37"/>
      <c r="N25" s="15"/>
      <c r="O25" s="15"/>
      <c r="P25" s="15"/>
      <c r="Q25" s="15"/>
      <c r="R25" s="158"/>
    </row>
    <row r="26" spans="1:18" ht="13.5" thickBot="1" x14ac:dyDescent="0.25">
      <c r="A26" s="25"/>
      <c r="B26" s="15"/>
      <c r="C26" s="52"/>
      <c r="H26" s="15"/>
      <c r="I26" s="15"/>
      <c r="J26" s="37"/>
      <c r="K26" s="15"/>
      <c r="L26" s="15"/>
      <c r="M26" s="37"/>
      <c r="N26" s="15"/>
      <c r="O26" s="15"/>
      <c r="P26" s="15"/>
      <c r="Q26" s="15"/>
      <c r="R26" s="158"/>
    </row>
    <row r="27" spans="1:18" ht="13.5" thickBot="1" x14ac:dyDescent="0.25">
      <c r="A27" s="5" t="s">
        <v>8</v>
      </c>
      <c r="B27" s="105">
        <v>40</v>
      </c>
      <c r="C27" s="52"/>
      <c r="H27" s="15"/>
      <c r="I27" s="15"/>
      <c r="J27" s="37"/>
      <c r="K27" s="15"/>
      <c r="L27" s="15"/>
      <c r="M27" s="37"/>
      <c r="N27" s="15"/>
      <c r="O27" s="15"/>
      <c r="P27" s="15"/>
      <c r="Q27" s="15"/>
      <c r="R27" s="158"/>
    </row>
    <row r="28" spans="1:18" ht="13.5" thickBot="1" x14ac:dyDescent="0.25">
      <c r="A28" s="25"/>
      <c r="B28" s="15"/>
      <c r="C28" s="52"/>
      <c r="H28" s="15"/>
      <c r="I28" s="15"/>
      <c r="J28" s="131"/>
      <c r="K28" s="132"/>
      <c r="L28" s="132"/>
      <c r="M28" s="131"/>
      <c r="N28" s="132"/>
      <c r="O28" s="132"/>
      <c r="P28" s="15"/>
      <c r="Q28" s="15"/>
      <c r="R28" s="158"/>
    </row>
    <row r="29" spans="1:18" ht="17.25" thickTop="1" thickBot="1" x14ac:dyDescent="0.3">
      <c r="A29" s="5" t="s">
        <v>9</v>
      </c>
      <c r="B29" s="105">
        <v>26</v>
      </c>
      <c r="C29" s="52"/>
      <c r="D29" s="110"/>
      <c r="E29" s="93"/>
      <c r="F29" s="93"/>
      <c r="G29" s="111"/>
      <c r="H29" s="15"/>
      <c r="I29" s="15"/>
      <c r="J29" s="219" t="s">
        <v>179</v>
      </c>
      <c r="K29" s="220"/>
      <c r="L29" s="220"/>
      <c r="M29" s="220"/>
      <c r="N29" s="220"/>
      <c r="O29" s="221"/>
      <c r="P29" s="15"/>
      <c r="Q29" s="15"/>
      <c r="R29" s="158"/>
    </row>
    <row r="30" spans="1:18" ht="13.5" thickBot="1" x14ac:dyDescent="0.25">
      <c r="A30" s="25"/>
      <c r="B30" s="15"/>
      <c r="C30" s="52"/>
      <c r="D30" s="95"/>
      <c r="E30" s="72"/>
      <c r="F30" s="57" t="s">
        <v>58</v>
      </c>
      <c r="G30" s="152" t="s">
        <v>165</v>
      </c>
      <c r="H30" s="15"/>
      <c r="I30" s="15"/>
      <c r="J30" s="222"/>
      <c r="K30" s="223"/>
      <c r="L30" s="223"/>
      <c r="M30" s="223"/>
      <c r="N30" s="223"/>
      <c r="O30" s="224"/>
      <c r="P30" s="15"/>
      <c r="Q30" s="15"/>
      <c r="R30" s="158"/>
    </row>
    <row r="31" spans="1:18" ht="13.5" thickBot="1" x14ac:dyDescent="0.25">
      <c r="A31" s="25"/>
      <c r="B31" s="15"/>
      <c r="C31" s="52"/>
      <c r="D31" s="95"/>
      <c r="E31" s="57"/>
      <c r="F31" s="57"/>
      <c r="G31" s="151"/>
      <c r="H31" s="15"/>
      <c r="I31" s="15"/>
      <c r="J31" s="226" t="s">
        <v>176</v>
      </c>
      <c r="K31" s="227"/>
      <c r="L31" s="227"/>
      <c r="M31" s="228"/>
      <c r="N31" s="229">
        <f>N6</f>
        <v>7.988347712918471</v>
      </c>
      <c r="O31" s="230"/>
      <c r="P31" s="15"/>
      <c r="Q31" s="15"/>
      <c r="R31" s="158"/>
    </row>
    <row r="32" spans="1:18" ht="13.5" thickBot="1" x14ac:dyDescent="0.25">
      <c r="A32" s="25"/>
      <c r="B32" s="15"/>
      <c r="C32" s="52"/>
      <c r="D32" s="95"/>
      <c r="E32" s="34"/>
      <c r="F32" s="108" t="s">
        <v>160</v>
      </c>
      <c r="G32" s="152" t="s">
        <v>161</v>
      </c>
      <c r="H32" s="15"/>
      <c r="I32" s="15"/>
      <c r="J32" s="222"/>
      <c r="K32" s="223"/>
      <c r="L32" s="223"/>
      <c r="M32" s="223"/>
      <c r="N32" s="223"/>
      <c r="O32" s="224"/>
      <c r="P32" s="15"/>
      <c r="Q32" s="15"/>
      <c r="R32" s="158"/>
    </row>
    <row r="33" spans="1:18" ht="13.5" thickBot="1" x14ac:dyDescent="0.25">
      <c r="A33" s="25"/>
      <c r="B33" s="15"/>
      <c r="C33" s="52"/>
      <c r="D33" s="95"/>
      <c r="E33" s="43"/>
      <c r="F33" s="57"/>
      <c r="G33" s="151"/>
      <c r="H33" s="15"/>
      <c r="I33" s="15"/>
      <c r="J33" s="226" t="s">
        <v>177</v>
      </c>
      <c r="K33" s="227"/>
      <c r="L33" s="227"/>
      <c r="M33" s="228"/>
      <c r="N33" s="229">
        <f>B19</f>
        <v>40</v>
      </c>
      <c r="O33" s="234"/>
      <c r="P33" s="15"/>
      <c r="Q33" s="15"/>
      <c r="R33" s="158"/>
    </row>
    <row r="34" spans="1:18" ht="14.25" thickTop="1" thickBot="1" x14ac:dyDescent="0.25">
      <c r="A34" s="25"/>
      <c r="B34" s="15"/>
      <c r="C34" s="52"/>
      <c r="D34" s="95"/>
      <c r="E34" s="123"/>
      <c r="F34" s="108" t="s">
        <v>160</v>
      </c>
      <c r="G34" s="152" t="s">
        <v>164</v>
      </c>
      <c r="H34" s="15"/>
      <c r="I34" s="15"/>
      <c r="J34" s="222"/>
      <c r="K34" s="223"/>
      <c r="L34" s="223"/>
      <c r="M34" s="223"/>
      <c r="N34" s="223"/>
      <c r="O34" s="224"/>
      <c r="P34" s="15"/>
      <c r="Q34" s="15"/>
      <c r="R34" s="158"/>
    </row>
    <row r="35" spans="1:18" ht="14.25" thickTop="1" thickBot="1" x14ac:dyDescent="0.25">
      <c r="A35" s="25"/>
      <c r="B35" s="15"/>
      <c r="C35" s="52"/>
      <c r="D35" s="97"/>
      <c r="E35" s="112"/>
      <c r="F35" s="98"/>
      <c r="G35" s="113"/>
      <c r="H35" s="15"/>
      <c r="I35" s="15"/>
      <c r="J35" s="231" t="s">
        <v>178</v>
      </c>
      <c r="K35" s="232"/>
      <c r="L35" s="232"/>
      <c r="M35" s="233"/>
      <c r="N35" s="235">
        <f>M23</f>
        <v>11.027314556050852</v>
      </c>
      <c r="O35" s="236"/>
      <c r="P35" s="15"/>
      <c r="Q35" s="15"/>
      <c r="R35" s="158"/>
    </row>
    <row r="36" spans="1:18" ht="13.5" thickTop="1" x14ac:dyDescent="0.2">
      <c r="A36" s="165"/>
      <c r="B36" s="166"/>
      <c r="C36" s="167"/>
      <c r="D36" s="166"/>
      <c r="E36" s="168"/>
      <c r="F36" s="166"/>
      <c r="G36" s="167"/>
      <c r="H36" s="166"/>
      <c r="I36" s="166"/>
      <c r="J36" s="225"/>
      <c r="K36" s="225"/>
      <c r="L36" s="225"/>
      <c r="M36" s="169"/>
      <c r="N36" s="170"/>
      <c r="O36" s="170"/>
      <c r="P36" s="166"/>
      <c r="Q36" s="166"/>
      <c r="R36" s="171"/>
    </row>
    <row r="37" spans="1:18" x14ac:dyDescent="0.2">
      <c r="J37" s="36"/>
      <c r="K37" s="8"/>
      <c r="L37" s="8"/>
      <c r="M37" s="36"/>
      <c r="N37" s="8"/>
      <c r="O37" s="8"/>
    </row>
    <row r="38" spans="1:18" x14ac:dyDescent="0.2">
      <c r="J38" s="36"/>
      <c r="K38" s="8"/>
      <c r="L38" s="8"/>
      <c r="M38" s="36"/>
      <c r="N38" s="8"/>
      <c r="O38" s="8"/>
    </row>
  </sheetData>
  <sheetProtection sheet="1" objects="1" scenarios="1" selectLockedCells="1"/>
  <mergeCells count="11">
    <mergeCell ref="J29:O29"/>
    <mergeCell ref="J30:O30"/>
    <mergeCell ref="J32:O32"/>
    <mergeCell ref="J36:L36"/>
    <mergeCell ref="J31:M31"/>
    <mergeCell ref="N31:O31"/>
    <mergeCell ref="J34:O34"/>
    <mergeCell ref="J35:M35"/>
    <mergeCell ref="J33:M33"/>
    <mergeCell ref="N33:O33"/>
    <mergeCell ref="N35:O35"/>
  </mergeCells>
  <phoneticPr fontId="0" type="noConversion"/>
  <dataValidations count="2">
    <dataValidation type="list" allowBlank="1" showInputMessage="1" showErrorMessage="1" sqref="B22" xr:uid="{00000000-0002-0000-0000-000000000000}">
      <formula1>Soilnumber</formula1>
    </dataValidation>
    <dataValidation type="list" allowBlank="1" showInputMessage="1" showErrorMessage="1" sqref="G5" xr:uid="{00000000-0002-0000-0000-000001000000}">
      <formula1>YN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4"/>
  <sheetViews>
    <sheetView showGridLines="0" zoomScale="90" zoomScaleNormal="90" workbookViewId="0">
      <selection activeCell="B11" sqref="B11"/>
    </sheetView>
  </sheetViews>
  <sheetFormatPr defaultRowHeight="12.75" x14ac:dyDescent="0.2"/>
  <cols>
    <col min="1" max="1" width="16.5703125" customWidth="1"/>
    <col min="2" max="2" width="9.7109375" customWidth="1"/>
    <col min="3" max="3" width="5.42578125" style="2" customWidth="1"/>
    <col min="4" max="4" width="7.5703125" customWidth="1"/>
    <col min="5" max="5" width="6.140625" customWidth="1"/>
    <col min="6" max="6" width="8" customWidth="1"/>
    <col min="7" max="7" width="2.7109375" customWidth="1"/>
    <col min="8" max="8" width="8.28515625" customWidth="1"/>
    <col min="9" max="9" width="5.7109375" customWidth="1"/>
    <col min="10" max="10" width="19.28515625" customWidth="1"/>
    <col min="11" max="11" width="6.5703125" customWidth="1"/>
    <col min="12" max="12" width="8.85546875" customWidth="1"/>
    <col min="13" max="13" width="4" customWidth="1"/>
    <col min="15" max="15" width="6.42578125" customWidth="1"/>
  </cols>
  <sheetData>
    <row r="1" spans="1:18" ht="24" customHeight="1" x14ac:dyDescent="0.25">
      <c r="A1" s="153" t="s">
        <v>186</v>
      </c>
      <c r="B1" s="154"/>
      <c r="C1" s="155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7"/>
    </row>
    <row r="2" spans="1:18" ht="13.5" thickBot="1" x14ac:dyDescent="0.25">
      <c r="A2" s="3" t="s">
        <v>49</v>
      </c>
      <c r="B2" s="4"/>
      <c r="C2" s="52"/>
      <c r="D2" s="3" t="s">
        <v>56</v>
      </c>
      <c r="E2" s="4"/>
      <c r="F2" s="54">
        <v>1</v>
      </c>
      <c r="G2" s="55">
        <v>110</v>
      </c>
      <c r="H2" s="15"/>
      <c r="I2" s="15"/>
      <c r="J2" s="3"/>
      <c r="K2" s="4"/>
      <c r="L2" s="54">
        <v>1</v>
      </c>
      <c r="M2" s="70">
        <v>0.85</v>
      </c>
      <c r="N2" s="15"/>
      <c r="O2" s="15"/>
      <c r="P2" s="15"/>
      <c r="Q2" s="15"/>
      <c r="R2" s="158"/>
    </row>
    <row r="3" spans="1:18" ht="15" thickBot="1" x14ac:dyDescent="0.25">
      <c r="A3" s="53" t="s">
        <v>50</v>
      </c>
      <c r="B3" s="104">
        <v>3</v>
      </c>
      <c r="C3" s="52" t="s">
        <v>7</v>
      </c>
      <c r="D3" s="14" t="s">
        <v>57</v>
      </c>
      <c r="E3" s="1">
        <f>IF($B$3=1,$G$2,$G$3)</f>
        <v>70</v>
      </c>
      <c r="F3" s="54">
        <v>2</v>
      </c>
      <c r="G3" s="55">
        <f>IF($B$3=2,85,$G$4)</f>
        <v>70</v>
      </c>
      <c r="H3" s="15"/>
      <c r="I3" s="15"/>
      <c r="J3" s="5" t="s">
        <v>69</v>
      </c>
      <c r="K3" s="1">
        <f>IF($B$3=1,$M$2,$M$3)</f>
        <v>1.1499999999999999</v>
      </c>
      <c r="L3" s="54">
        <v>2</v>
      </c>
      <c r="M3" s="70">
        <f>IF($B$3=2,1,$M$4)</f>
        <v>1.1499999999999999</v>
      </c>
      <c r="N3" s="15"/>
      <c r="O3" s="15"/>
      <c r="P3" s="15"/>
      <c r="Q3" s="15"/>
      <c r="R3" s="158"/>
    </row>
    <row r="4" spans="1:18" ht="15" thickBot="1" x14ac:dyDescent="0.25">
      <c r="A4" s="6" t="s">
        <v>51</v>
      </c>
      <c r="B4" s="7"/>
      <c r="C4" s="52"/>
      <c r="D4" s="62" t="s">
        <v>46</v>
      </c>
      <c r="E4" s="1">
        <f>+$E$3/2000</f>
        <v>3.5000000000000003E-2</v>
      </c>
      <c r="F4" s="60">
        <v>3</v>
      </c>
      <c r="G4" s="55">
        <f>IF($B$3=3,70,$G$5)</f>
        <v>70</v>
      </c>
      <c r="H4" s="15"/>
      <c r="I4" s="15"/>
      <c r="J4" s="6" t="s">
        <v>70</v>
      </c>
      <c r="K4" s="7"/>
      <c r="L4" s="60">
        <v>3</v>
      </c>
      <c r="M4" s="70">
        <f>IF($B$3=3,1.15,$M$5)</f>
        <v>1.1499999999999999</v>
      </c>
      <c r="N4" s="15"/>
      <c r="O4" s="15"/>
      <c r="P4" s="15"/>
      <c r="Q4" s="15"/>
      <c r="R4" s="158"/>
    </row>
    <row r="5" spans="1:18" x14ac:dyDescent="0.2">
      <c r="A5" s="25"/>
      <c r="B5" s="15"/>
      <c r="C5" s="52"/>
      <c r="D5" s="15"/>
      <c r="E5" s="61"/>
      <c r="F5" s="60">
        <v>4</v>
      </c>
      <c r="G5" s="55">
        <f>IF($B$3=4,22,0)</f>
        <v>0</v>
      </c>
      <c r="H5" s="15"/>
      <c r="I5" s="15"/>
      <c r="J5" s="15"/>
      <c r="K5" s="15"/>
      <c r="L5" s="60">
        <v>4</v>
      </c>
      <c r="M5" s="70" t="str">
        <f>IF($B$3=4,1.5,"X")</f>
        <v>X</v>
      </c>
      <c r="N5" s="15"/>
      <c r="O5" s="15"/>
      <c r="P5" s="15"/>
      <c r="Q5" s="15"/>
      <c r="R5" s="158"/>
    </row>
    <row r="6" spans="1:18" ht="13.5" thickBot="1" x14ac:dyDescent="0.25">
      <c r="A6" s="3" t="s">
        <v>47</v>
      </c>
      <c r="B6" s="4"/>
      <c r="C6" s="52"/>
      <c r="D6" s="15"/>
      <c r="E6" s="52"/>
      <c r="F6" s="15"/>
      <c r="G6" s="15"/>
      <c r="H6" s="15"/>
      <c r="I6" s="15"/>
      <c r="J6" s="69"/>
      <c r="K6" s="15"/>
      <c r="L6" s="15"/>
      <c r="M6" s="15"/>
      <c r="N6" s="15"/>
      <c r="O6" s="15"/>
      <c r="P6" s="15"/>
      <c r="Q6" s="15"/>
      <c r="R6" s="158"/>
    </row>
    <row r="7" spans="1:18" ht="15" thickBot="1" x14ac:dyDescent="0.25">
      <c r="A7" s="5" t="s">
        <v>77</v>
      </c>
      <c r="B7" s="175">
        <v>7600</v>
      </c>
      <c r="C7" s="52" t="s">
        <v>7</v>
      </c>
      <c r="D7" s="68" t="s">
        <v>68</v>
      </c>
      <c r="E7" s="56"/>
      <c r="F7" s="56"/>
      <c r="G7" s="56"/>
      <c r="H7" s="4"/>
      <c r="I7" s="15"/>
      <c r="J7" s="68" t="s">
        <v>74</v>
      </c>
      <c r="K7" s="4"/>
      <c r="L7" s="15"/>
      <c r="M7" s="15"/>
      <c r="N7" s="15"/>
      <c r="O7" s="15"/>
      <c r="P7" s="15"/>
      <c r="Q7" s="15"/>
      <c r="R7" s="158"/>
    </row>
    <row r="8" spans="1:18" ht="13.5" thickBot="1" x14ac:dyDescent="0.25">
      <c r="A8" s="6"/>
      <c r="B8" s="7"/>
      <c r="C8" s="52"/>
      <c r="D8" s="5" t="s">
        <v>54</v>
      </c>
      <c r="E8" s="57"/>
      <c r="F8" s="57"/>
      <c r="G8" s="57"/>
      <c r="H8" s="58"/>
      <c r="I8" s="15"/>
      <c r="J8" s="5" t="s">
        <v>65</v>
      </c>
      <c r="K8" s="58"/>
      <c r="L8" s="15"/>
      <c r="M8" s="15"/>
      <c r="N8" s="15"/>
      <c r="O8" s="15"/>
      <c r="P8" s="15"/>
      <c r="Q8" s="15"/>
      <c r="R8" s="158"/>
    </row>
    <row r="9" spans="1:18" ht="14.25" thickTop="1" thickBot="1" x14ac:dyDescent="0.25">
      <c r="A9" s="25"/>
      <c r="B9" s="15"/>
      <c r="C9" s="52"/>
      <c r="D9" s="5" t="s">
        <v>58</v>
      </c>
      <c r="E9" s="57"/>
      <c r="F9" s="57"/>
      <c r="G9" s="57"/>
      <c r="H9" s="124">
        <f>+$E$4*$B$7/$B$11</f>
        <v>17.733333333333334</v>
      </c>
      <c r="I9" s="15"/>
      <c r="J9" s="63" t="s">
        <v>67</v>
      </c>
      <c r="K9" s="124">
        <f>+$H$9*$I$19*$A$28</f>
        <v>17.733333333333334</v>
      </c>
      <c r="L9" s="15"/>
      <c r="M9" s="15"/>
      <c r="N9" s="15"/>
      <c r="O9" s="15"/>
      <c r="P9" s="15"/>
      <c r="Q9" s="15"/>
      <c r="R9" s="158"/>
    </row>
    <row r="10" spans="1:18" ht="14.25" thickTop="1" thickBot="1" x14ac:dyDescent="0.25">
      <c r="A10" s="3" t="s">
        <v>52</v>
      </c>
      <c r="B10" s="4"/>
      <c r="C10" s="52"/>
      <c r="D10" s="63" t="s">
        <v>59</v>
      </c>
      <c r="E10" s="57"/>
      <c r="F10" s="57"/>
      <c r="G10" s="57"/>
      <c r="H10" s="58"/>
      <c r="I10" s="15"/>
      <c r="J10" s="5" t="s">
        <v>55</v>
      </c>
      <c r="K10" s="58"/>
      <c r="L10" s="15"/>
      <c r="M10" s="15"/>
      <c r="N10" s="15"/>
      <c r="O10" s="15"/>
      <c r="P10" s="15"/>
      <c r="Q10" s="15"/>
      <c r="R10" s="158"/>
    </row>
    <row r="11" spans="1:18" ht="13.5" thickBot="1" x14ac:dyDescent="0.25">
      <c r="A11" s="5" t="s">
        <v>53</v>
      </c>
      <c r="B11" s="104">
        <v>15</v>
      </c>
      <c r="C11" s="160"/>
      <c r="D11" s="6" t="s">
        <v>66</v>
      </c>
      <c r="E11" s="59"/>
      <c r="F11" s="59"/>
      <c r="G11" s="59"/>
      <c r="H11" s="7"/>
      <c r="I11" s="15"/>
      <c r="J11" s="6"/>
      <c r="K11" s="7"/>
      <c r="L11" s="15"/>
      <c r="M11" s="15"/>
      <c r="N11" s="15"/>
      <c r="O11" s="15"/>
      <c r="P11" s="15"/>
      <c r="Q11" s="15"/>
      <c r="R11" s="158"/>
    </row>
    <row r="12" spans="1:18" x14ac:dyDescent="0.2">
      <c r="A12" s="6"/>
      <c r="B12" s="7"/>
      <c r="C12" s="52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8"/>
    </row>
    <row r="13" spans="1:18" x14ac:dyDescent="0.2">
      <c r="A13" s="25"/>
      <c r="B13" s="15"/>
      <c r="C13" s="52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8"/>
    </row>
    <row r="14" spans="1:18" ht="13.5" thickBot="1" x14ac:dyDescent="0.25">
      <c r="A14" s="25"/>
      <c r="B14" s="15"/>
      <c r="C14" s="52"/>
      <c r="D14" s="15"/>
      <c r="E14" s="15"/>
      <c r="F14" s="15"/>
      <c r="G14" s="15"/>
      <c r="H14" s="15"/>
      <c r="I14" s="15"/>
      <c r="J14" s="68" t="s">
        <v>71</v>
      </c>
      <c r="K14" s="56"/>
      <c r="L14" s="4"/>
      <c r="M14" s="15"/>
      <c r="N14" s="15"/>
      <c r="O14" s="15"/>
      <c r="P14" s="15"/>
      <c r="Q14" s="15"/>
      <c r="R14" s="158"/>
    </row>
    <row r="15" spans="1:18" ht="14.25" thickTop="1" thickBot="1" x14ac:dyDescent="0.25">
      <c r="A15" s="25"/>
      <c r="B15" s="15"/>
      <c r="C15" s="52"/>
      <c r="D15" s="15"/>
      <c r="E15" s="15"/>
      <c r="F15" s="15"/>
      <c r="G15" s="15"/>
      <c r="H15" s="15"/>
      <c r="I15" s="15"/>
      <c r="J15" s="5" t="s">
        <v>72</v>
      </c>
      <c r="K15" s="57"/>
      <c r="L15" s="124">
        <f>+K9*K3</f>
        <v>20.393333333333334</v>
      </c>
      <c r="M15" s="15"/>
      <c r="N15" s="15"/>
      <c r="O15" s="15"/>
      <c r="P15" s="15"/>
      <c r="Q15" s="15"/>
      <c r="R15" s="158"/>
    </row>
    <row r="16" spans="1:18" ht="13.5" thickTop="1" x14ac:dyDescent="0.2">
      <c r="A16" s="25"/>
      <c r="B16" s="15"/>
      <c r="C16" s="52"/>
      <c r="D16" s="15"/>
      <c r="E16" s="15"/>
      <c r="F16" s="15"/>
      <c r="G16" s="15"/>
      <c r="H16" s="15"/>
      <c r="I16" s="15"/>
      <c r="J16" s="6" t="s">
        <v>73</v>
      </c>
      <c r="K16" s="59"/>
      <c r="L16" s="7"/>
      <c r="M16" s="15"/>
      <c r="N16" s="15"/>
      <c r="O16" s="15"/>
      <c r="P16" s="15"/>
      <c r="Q16" s="15"/>
      <c r="R16" s="158"/>
    </row>
    <row r="17" spans="1:18" x14ac:dyDescent="0.2">
      <c r="A17" s="3" t="s">
        <v>62</v>
      </c>
      <c r="B17" s="4"/>
      <c r="C17" s="52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8"/>
    </row>
    <row r="18" spans="1:18" ht="13.5" thickBot="1" x14ac:dyDescent="0.25">
      <c r="A18" s="5" t="s">
        <v>63</v>
      </c>
      <c r="B18" s="58"/>
      <c r="C18" s="52"/>
      <c r="D18" s="3" t="s">
        <v>60</v>
      </c>
      <c r="E18" s="64"/>
      <c r="F18" s="4"/>
      <c r="G18" s="15"/>
      <c r="H18" s="3"/>
      <c r="I18" s="33"/>
      <c r="J18" s="15"/>
      <c r="K18" s="15"/>
      <c r="L18" s="15"/>
      <c r="M18" s="15"/>
      <c r="N18" s="15"/>
      <c r="O18" s="15"/>
      <c r="P18" s="15"/>
      <c r="Q18" s="15"/>
      <c r="R18" s="158"/>
    </row>
    <row r="19" spans="1:18" ht="13.5" thickBot="1" x14ac:dyDescent="0.25">
      <c r="A19" s="5" t="s">
        <v>158</v>
      </c>
      <c r="B19" s="104">
        <v>1</v>
      </c>
      <c r="C19" s="52"/>
      <c r="D19" s="5" t="s">
        <v>61</v>
      </c>
      <c r="E19" s="150"/>
      <c r="F19" s="104">
        <v>300</v>
      </c>
      <c r="G19" s="15"/>
      <c r="H19" s="14" t="s">
        <v>10</v>
      </c>
      <c r="I19" s="67">
        <f>IF($B$19=1,I22,I23)</f>
        <v>1</v>
      </c>
      <c r="J19" s="15"/>
      <c r="K19" s="15"/>
      <c r="L19" s="15"/>
      <c r="M19" s="15"/>
      <c r="N19" s="15"/>
      <c r="O19" s="15"/>
      <c r="P19" s="15"/>
      <c r="Q19" s="15"/>
      <c r="R19" s="158"/>
    </row>
    <row r="20" spans="1:18" x14ac:dyDescent="0.2">
      <c r="A20" s="6" t="s">
        <v>64</v>
      </c>
      <c r="B20" s="7"/>
      <c r="C20" s="52"/>
      <c r="D20" s="6" t="s">
        <v>14</v>
      </c>
      <c r="E20" s="65"/>
      <c r="F20" s="7"/>
      <c r="G20" s="15"/>
      <c r="H20" s="6"/>
      <c r="I20" s="35"/>
      <c r="J20" s="15"/>
      <c r="K20" s="15"/>
      <c r="L20" s="15"/>
      <c r="M20" s="15"/>
      <c r="N20" s="15"/>
      <c r="O20" s="15"/>
      <c r="P20" s="15"/>
      <c r="Q20" s="15"/>
      <c r="R20" s="158"/>
    </row>
    <row r="21" spans="1:18" x14ac:dyDescent="0.2">
      <c r="A21" s="25"/>
      <c r="B21" s="15"/>
      <c r="C21" s="52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8"/>
    </row>
    <row r="22" spans="1:18" ht="14.25" thickBot="1" x14ac:dyDescent="0.3">
      <c r="A22" s="25"/>
      <c r="B22" s="15"/>
      <c r="C22" s="52"/>
      <c r="D22" s="15"/>
      <c r="E22" s="15"/>
      <c r="F22" s="15"/>
      <c r="G22" s="15"/>
      <c r="H22" s="60">
        <v>1</v>
      </c>
      <c r="I22" s="172">
        <f>IF($F$19&lt;=1320,1,0.5)</f>
        <v>1</v>
      </c>
      <c r="J22" s="15"/>
      <c r="K22" s="15"/>
      <c r="L22" s="15"/>
      <c r="M22" s="15"/>
      <c r="N22" s="15"/>
      <c r="O22" s="15"/>
      <c r="P22" s="15"/>
      <c r="Q22" s="15"/>
      <c r="R22" s="158"/>
    </row>
    <row r="23" spans="1:18" ht="14.25" thickBot="1" x14ac:dyDescent="0.3">
      <c r="A23" s="21" t="s">
        <v>21</v>
      </c>
      <c r="B23" s="15"/>
      <c r="C23" s="52"/>
      <c r="D23" s="15"/>
      <c r="E23" s="15"/>
      <c r="F23" s="15"/>
      <c r="G23" s="15"/>
      <c r="H23" s="60">
        <v>2</v>
      </c>
      <c r="I23" s="66" t="str">
        <f>IF($B$19=2,($F$19)^-0.2069,$I$24)</f>
        <v>X</v>
      </c>
      <c r="J23" s="15"/>
      <c r="K23" s="15"/>
      <c r="L23" s="15"/>
      <c r="M23" s="15"/>
      <c r="N23" s="15"/>
      <c r="O23" s="15"/>
      <c r="P23" s="15"/>
      <c r="Q23" s="15"/>
      <c r="R23" s="158"/>
    </row>
    <row r="24" spans="1:18" ht="13.5" x14ac:dyDescent="0.25">
      <c r="A24" s="22" t="s">
        <v>20</v>
      </c>
      <c r="B24" s="15"/>
      <c r="C24" s="52"/>
      <c r="D24" s="15"/>
      <c r="E24" s="15"/>
      <c r="F24" s="15"/>
      <c r="G24" s="15"/>
      <c r="H24" s="60">
        <v>3</v>
      </c>
      <c r="I24" s="172" t="str">
        <f>IF($B$19=3,0,"X")</f>
        <v>X</v>
      </c>
      <c r="J24" s="15"/>
      <c r="K24" s="15"/>
      <c r="L24" s="15"/>
      <c r="M24" s="15"/>
      <c r="N24" s="15"/>
      <c r="O24" s="15"/>
      <c r="P24" s="15"/>
      <c r="Q24" s="15"/>
      <c r="R24" s="158"/>
    </row>
    <row r="25" spans="1:18" ht="13.5" thickBot="1" x14ac:dyDescent="0.25">
      <c r="A25" s="22" t="s">
        <v>22</v>
      </c>
      <c r="B25" s="15"/>
      <c r="C25" s="52"/>
      <c r="D25" s="15"/>
      <c r="E25" s="15"/>
      <c r="F25" s="133"/>
      <c r="G25" s="133"/>
      <c r="H25" s="133"/>
      <c r="I25" s="15"/>
      <c r="J25" s="15"/>
      <c r="K25" s="128"/>
      <c r="L25" s="15"/>
      <c r="M25" s="15"/>
      <c r="N25" s="15"/>
      <c r="O25" s="15"/>
      <c r="P25" s="15"/>
      <c r="Q25" s="15"/>
      <c r="R25" s="158"/>
    </row>
    <row r="26" spans="1:18" ht="17.25" thickTop="1" thickBot="1" x14ac:dyDescent="0.3">
      <c r="A26" s="173" t="s">
        <v>182</v>
      </c>
      <c r="B26" s="15"/>
      <c r="C26" s="52"/>
      <c r="D26" s="110"/>
      <c r="E26" s="93"/>
      <c r="F26" s="237"/>
      <c r="G26" s="237"/>
      <c r="H26" s="238"/>
      <c r="I26" s="15"/>
      <c r="J26" s="242" t="s">
        <v>179</v>
      </c>
      <c r="K26" s="243"/>
      <c r="L26" s="243"/>
      <c r="M26" s="243"/>
      <c r="N26" s="243"/>
      <c r="O26" s="244"/>
      <c r="P26" s="15"/>
      <c r="Q26" s="15"/>
      <c r="R26" s="158"/>
    </row>
    <row r="27" spans="1:18" ht="13.5" thickBot="1" x14ac:dyDescent="0.25">
      <c r="A27" s="22"/>
      <c r="B27" s="15"/>
      <c r="C27" s="52"/>
      <c r="D27" s="95"/>
      <c r="E27" s="72"/>
      <c r="F27" s="239" t="s">
        <v>75</v>
      </c>
      <c r="G27" s="240"/>
      <c r="H27" s="241"/>
      <c r="I27" s="15"/>
      <c r="J27" s="222"/>
      <c r="K27" s="223"/>
      <c r="L27" s="223"/>
      <c r="M27" s="223"/>
      <c r="N27" s="223"/>
      <c r="O27" s="224"/>
      <c r="P27" s="15"/>
      <c r="Q27" s="15"/>
      <c r="R27" s="158"/>
    </row>
    <row r="28" spans="1:18" ht="13.5" thickBot="1" x14ac:dyDescent="0.25">
      <c r="A28" s="174">
        <f>IF($A$26="Y",0.35,1)</f>
        <v>1</v>
      </c>
      <c r="B28" s="15"/>
      <c r="C28" s="52"/>
      <c r="D28" s="95"/>
      <c r="E28" s="57"/>
      <c r="F28" s="57"/>
      <c r="G28" s="57"/>
      <c r="H28" s="96"/>
      <c r="I28" s="15"/>
      <c r="J28" s="226" t="s">
        <v>176</v>
      </c>
      <c r="K28" s="227"/>
      <c r="L28" s="227"/>
      <c r="M28" s="228"/>
      <c r="N28" s="247">
        <f>K9</f>
        <v>17.733333333333334</v>
      </c>
      <c r="O28" s="248"/>
      <c r="P28" s="15"/>
      <c r="Q28" s="15"/>
      <c r="R28" s="158"/>
    </row>
    <row r="29" spans="1:18" ht="13.5" thickBot="1" x14ac:dyDescent="0.25">
      <c r="A29" s="22" t="s">
        <v>23</v>
      </c>
      <c r="B29" s="15"/>
      <c r="C29" s="52"/>
      <c r="D29" s="95"/>
      <c r="E29" s="34"/>
      <c r="F29" s="109" t="s">
        <v>166</v>
      </c>
      <c r="G29" s="57"/>
      <c r="H29" s="96"/>
      <c r="I29" s="15"/>
      <c r="J29" s="222"/>
      <c r="K29" s="223"/>
      <c r="L29" s="223"/>
      <c r="M29" s="223"/>
      <c r="N29" s="223"/>
      <c r="O29" s="224"/>
      <c r="P29" s="15"/>
      <c r="Q29" s="15"/>
      <c r="R29" s="158"/>
    </row>
    <row r="30" spans="1:18" ht="13.5" thickBot="1" x14ac:dyDescent="0.25">
      <c r="A30" s="22" t="s">
        <v>24</v>
      </c>
      <c r="B30" s="15"/>
      <c r="C30" s="52"/>
      <c r="D30" s="95"/>
      <c r="E30" s="43"/>
      <c r="F30" s="57"/>
      <c r="G30" s="57"/>
      <c r="H30" s="96"/>
      <c r="I30" s="15"/>
      <c r="J30" s="226" t="s">
        <v>177</v>
      </c>
      <c r="K30" s="227"/>
      <c r="L30" s="227"/>
      <c r="M30" s="228"/>
      <c r="N30" s="247">
        <f>H9</f>
        <v>17.733333333333334</v>
      </c>
      <c r="O30" s="248"/>
      <c r="P30" s="15"/>
      <c r="Q30" s="15"/>
      <c r="R30" s="158"/>
    </row>
    <row r="31" spans="1:18" ht="14.25" thickTop="1" thickBot="1" x14ac:dyDescent="0.25">
      <c r="A31" s="23" t="s">
        <v>76</v>
      </c>
      <c r="B31" s="15"/>
      <c r="C31" s="52"/>
      <c r="D31" s="95"/>
      <c r="E31" s="123"/>
      <c r="F31" s="109" t="s">
        <v>167</v>
      </c>
      <c r="G31" s="57"/>
      <c r="H31" s="96"/>
      <c r="I31" s="15"/>
      <c r="J31" s="222"/>
      <c r="K31" s="223"/>
      <c r="L31" s="223"/>
      <c r="M31" s="223"/>
      <c r="N31" s="223"/>
      <c r="O31" s="224"/>
      <c r="P31" s="15"/>
      <c r="Q31" s="15"/>
      <c r="R31" s="158"/>
    </row>
    <row r="32" spans="1:18" ht="14.25" thickTop="1" thickBot="1" x14ac:dyDescent="0.25">
      <c r="A32" s="25"/>
      <c r="B32" s="15"/>
      <c r="C32" s="52"/>
      <c r="D32" s="97"/>
      <c r="E32" s="112"/>
      <c r="F32" s="98"/>
      <c r="G32" s="98"/>
      <c r="H32" s="99"/>
      <c r="I32" s="15"/>
      <c r="J32" s="231" t="s">
        <v>178</v>
      </c>
      <c r="K32" s="232"/>
      <c r="L32" s="232"/>
      <c r="M32" s="233"/>
      <c r="N32" s="245">
        <f>L15</f>
        <v>20.393333333333334</v>
      </c>
      <c r="O32" s="246"/>
      <c r="P32" s="15"/>
      <c r="Q32" s="15"/>
      <c r="R32" s="158"/>
    </row>
    <row r="33" spans="1:18" ht="13.5" thickTop="1" x14ac:dyDescent="0.2">
      <c r="A33" s="25"/>
      <c r="B33" s="15"/>
      <c r="C33" s="52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8"/>
    </row>
    <row r="34" spans="1:18" x14ac:dyDescent="0.2">
      <c r="A34" s="165"/>
      <c r="B34" s="166"/>
      <c r="C34" s="167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71"/>
    </row>
  </sheetData>
  <sheetProtection sheet="1" objects="1" scenarios="1" selectLockedCells="1"/>
  <mergeCells count="12">
    <mergeCell ref="F26:H26"/>
    <mergeCell ref="F27:H27"/>
    <mergeCell ref="J26:O26"/>
    <mergeCell ref="J31:O31"/>
    <mergeCell ref="J32:M32"/>
    <mergeCell ref="N32:O32"/>
    <mergeCell ref="J27:O27"/>
    <mergeCell ref="J28:M28"/>
    <mergeCell ref="N28:O28"/>
    <mergeCell ref="J29:O29"/>
    <mergeCell ref="J30:M30"/>
    <mergeCell ref="N30:O30"/>
  </mergeCells>
  <phoneticPr fontId="0" type="noConversion"/>
  <dataValidations count="4">
    <dataValidation type="list" allowBlank="1" showInputMessage="1" showErrorMessage="1" sqref="B11" xr:uid="{00000000-0002-0000-0100-000000000000}">
      <formula1>duration</formula1>
    </dataValidation>
    <dataValidation type="list" allowBlank="1" showInputMessage="1" showErrorMessage="1" sqref="B19" xr:uid="{00000000-0002-0000-0100-000001000000}">
      <formula1>channel</formula1>
    </dataValidation>
    <dataValidation type="list" allowBlank="1" showInputMessage="1" showErrorMessage="1" sqref="A26" xr:uid="{00000000-0002-0000-0100-000002000000}">
      <formula1>YN</formula1>
    </dataValidation>
    <dataValidation type="list" allowBlank="1" showInputMessage="1" showErrorMessage="1" sqref="B3" xr:uid="{00000000-0002-0000-0100-000003000000}">
      <formula1>Soilnumber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7"/>
  <sheetViews>
    <sheetView showGridLines="0" zoomScale="90" zoomScaleNormal="90" workbookViewId="0">
      <selection activeCell="B3" sqref="B3"/>
    </sheetView>
  </sheetViews>
  <sheetFormatPr defaultRowHeight="12.75" x14ac:dyDescent="0.2"/>
  <cols>
    <col min="1" max="1" width="16.85546875" customWidth="1"/>
    <col min="2" max="2" width="7.42578125" customWidth="1"/>
    <col min="3" max="3" width="6.5703125" customWidth="1"/>
    <col min="6" max="6" width="4.28515625" customWidth="1"/>
    <col min="7" max="7" width="7.28515625" customWidth="1"/>
    <col min="8" max="8" width="8" customWidth="1"/>
    <col min="10" max="10" width="18.140625" customWidth="1"/>
    <col min="11" max="11" width="11.85546875" customWidth="1"/>
    <col min="12" max="12" width="8.85546875" customWidth="1"/>
    <col min="13" max="13" width="5.5703125" customWidth="1"/>
  </cols>
  <sheetData>
    <row r="1" spans="1:16" ht="18" x14ac:dyDescent="0.25">
      <c r="A1" s="153" t="s">
        <v>187</v>
      </c>
      <c r="B1" s="154"/>
      <c r="C1" s="155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7"/>
    </row>
    <row r="2" spans="1:16" ht="13.5" thickBot="1" x14ac:dyDescent="0.25">
      <c r="A2" s="3" t="s">
        <v>49</v>
      </c>
      <c r="B2" s="4"/>
      <c r="C2" s="52"/>
      <c r="D2" s="3" t="s">
        <v>56</v>
      </c>
      <c r="E2" s="81"/>
      <c r="F2" s="117">
        <v>1</v>
      </c>
      <c r="G2" s="178">
        <v>110</v>
      </c>
      <c r="H2" s="15"/>
      <c r="I2" s="15"/>
      <c r="J2" s="3"/>
      <c r="K2" s="4"/>
      <c r="L2" s="114">
        <v>1</v>
      </c>
      <c r="M2" s="116">
        <v>0.85</v>
      </c>
      <c r="N2" s="15"/>
      <c r="O2" s="15"/>
      <c r="P2" s="158"/>
    </row>
    <row r="3" spans="1:16" ht="15" thickBot="1" x14ac:dyDescent="0.25">
      <c r="A3" s="53" t="s">
        <v>50</v>
      </c>
      <c r="B3" s="104">
        <v>2</v>
      </c>
      <c r="C3" s="52"/>
      <c r="D3" s="14" t="s">
        <v>57</v>
      </c>
      <c r="E3" s="1">
        <f>IF($B$3=1,$G$2,$G$3)</f>
        <v>85</v>
      </c>
      <c r="F3" s="114">
        <v>2</v>
      </c>
      <c r="G3" s="115">
        <f>IF($B$3=2,85,$G$4)</f>
        <v>85</v>
      </c>
      <c r="H3" s="15"/>
      <c r="I3" s="15"/>
      <c r="J3" s="5" t="s">
        <v>69</v>
      </c>
      <c r="K3" s="1">
        <f>IF($B$3=1,$M$2,$M$3)</f>
        <v>1</v>
      </c>
      <c r="L3" s="114">
        <v>2</v>
      </c>
      <c r="M3" s="116">
        <f>IF($B$3=2,1,$M$4)</f>
        <v>1</v>
      </c>
      <c r="N3" s="15"/>
      <c r="O3" s="15"/>
      <c r="P3" s="158"/>
    </row>
    <row r="4" spans="1:16" ht="15" thickBot="1" x14ac:dyDescent="0.25">
      <c r="A4" s="6" t="s">
        <v>51</v>
      </c>
      <c r="B4" s="7"/>
      <c r="C4" s="52"/>
      <c r="D4" s="62" t="s">
        <v>46</v>
      </c>
      <c r="E4" s="82">
        <f>+E3/2000</f>
        <v>4.2500000000000003E-2</v>
      </c>
      <c r="F4" s="117">
        <v>3</v>
      </c>
      <c r="G4" s="115" t="str">
        <f>IF($B$3=3,70,$G$5)</f>
        <v>X</v>
      </c>
      <c r="H4" s="15"/>
      <c r="I4" s="15"/>
      <c r="J4" s="6" t="s">
        <v>70</v>
      </c>
      <c r="K4" s="7"/>
      <c r="L4" s="117">
        <v>3</v>
      </c>
      <c r="M4" s="116" t="str">
        <f>IF($B$3=3,1.15,$M$5)</f>
        <v>X</v>
      </c>
      <c r="N4" s="15"/>
      <c r="O4" s="15"/>
      <c r="P4" s="158"/>
    </row>
    <row r="5" spans="1:16" x14ac:dyDescent="0.2">
      <c r="A5" s="25"/>
      <c r="B5" s="15"/>
      <c r="C5" s="52"/>
      <c r="D5" s="15"/>
      <c r="E5" s="52"/>
      <c r="F5" s="117">
        <v>4</v>
      </c>
      <c r="G5" s="115" t="str">
        <f>IF($B$3=4,22,"X")</f>
        <v>X</v>
      </c>
      <c r="H5" s="15"/>
      <c r="I5" s="15"/>
      <c r="J5" s="15"/>
      <c r="K5" s="15"/>
      <c r="L5" s="117">
        <v>4</v>
      </c>
      <c r="M5" s="116" t="str">
        <f>IF($B$3=4,1.5,"X")</f>
        <v>X</v>
      </c>
      <c r="N5" s="15"/>
      <c r="O5" s="15"/>
      <c r="P5" s="158"/>
    </row>
    <row r="6" spans="1:16" ht="13.5" thickBot="1" x14ac:dyDescent="0.25">
      <c r="A6" s="68" t="s">
        <v>47</v>
      </c>
      <c r="B6" s="4"/>
      <c r="C6" s="52"/>
      <c r="D6" s="15"/>
      <c r="E6" s="52"/>
      <c r="F6" s="15"/>
      <c r="G6" s="15"/>
      <c r="H6" s="15"/>
      <c r="I6" s="15"/>
      <c r="J6" s="15"/>
      <c r="K6" s="15"/>
      <c r="L6" s="15"/>
      <c r="M6" s="15"/>
      <c r="N6" s="15"/>
      <c r="O6" s="15"/>
      <c r="P6" s="158"/>
    </row>
    <row r="7" spans="1:16" ht="13.5" thickBot="1" x14ac:dyDescent="0.25">
      <c r="A7" s="5" t="s">
        <v>48</v>
      </c>
      <c r="B7" s="175">
        <v>2500</v>
      </c>
      <c r="C7" s="52"/>
      <c r="D7" s="68" t="s">
        <v>68</v>
      </c>
      <c r="E7" s="83"/>
      <c r="F7" s="83"/>
      <c r="G7" s="56"/>
      <c r="H7" s="4"/>
      <c r="I7" s="15"/>
      <c r="J7" s="68" t="s">
        <v>74</v>
      </c>
      <c r="K7" s="4"/>
      <c r="L7" s="15"/>
      <c r="M7" s="15"/>
      <c r="N7" s="15"/>
      <c r="O7" s="15"/>
      <c r="P7" s="158"/>
    </row>
    <row r="8" spans="1:16" ht="13.5" thickBot="1" x14ac:dyDescent="0.25">
      <c r="A8" s="6"/>
      <c r="B8" s="7"/>
      <c r="C8" s="52"/>
      <c r="D8" s="5" t="s">
        <v>54</v>
      </c>
      <c r="E8" s="57"/>
      <c r="F8" s="57"/>
      <c r="G8" s="57"/>
      <c r="H8" s="58"/>
      <c r="I8" s="15"/>
      <c r="J8" s="5" t="s">
        <v>81</v>
      </c>
      <c r="K8" s="58"/>
      <c r="L8" s="15"/>
      <c r="M8" s="15"/>
      <c r="N8" s="15"/>
      <c r="O8" s="15"/>
      <c r="P8" s="158"/>
    </row>
    <row r="9" spans="1:16" ht="14.25" thickTop="1" thickBot="1" x14ac:dyDescent="0.25">
      <c r="A9" s="25"/>
      <c r="B9" s="15"/>
      <c r="C9" s="52"/>
      <c r="D9" s="5" t="s">
        <v>58</v>
      </c>
      <c r="E9" s="57"/>
      <c r="F9" s="57"/>
      <c r="G9" s="57"/>
      <c r="H9" s="124">
        <f>+$E$4*$B$7/$B$11</f>
        <v>21.250000000000004</v>
      </c>
      <c r="I9" s="15"/>
      <c r="J9" s="63" t="s">
        <v>80</v>
      </c>
      <c r="K9" s="124">
        <f>+$H$9</f>
        <v>21.250000000000004</v>
      </c>
      <c r="L9" s="15"/>
      <c r="M9" s="15"/>
      <c r="N9" s="15"/>
      <c r="O9" s="15"/>
      <c r="P9" s="158"/>
    </row>
    <row r="10" spans="1:16" ht="14.25" thickTop="1" thickBot="1" x14ac:dyDescent="0.25">
      <c r="A10" s="68" t="s">
        <v>52</v>
      </c>
      <c r="B10" s="4"/>
      <c r="C10" s="52"/>
      <c r="D10" s="63" t="s">
        <v>162</v>
      </c>
      <c r="E10" s="179"/>
      <c r="F10" s="179"/>
      <c r="G10" s="57"/>
      <c r="H10" s="58"/>
      <c r="I10" s="15"/>
      <c r="J10" s="63" t="s">
        <v>163</v>
      </c>
      <c r="K10" s="58"/>
      <c r="L10" s="15"/>
      <c r="M10" s="15"/>
      <c r="N10" s="15"/>
      <c r="O10" s="15"/>
      <c r="P10" s="158"/>
    </row>
    <row r="11" spans="1:16" ht="13.5" thickBot="1" x14ac:dyDescent="0.25">
      <c r="A11" s="5" t="s">
        <v>53</v>
      </c>
      <c r="B11" s="104">
        <v>5</v>
      </c>
      <c r="C11" s="160"/>
      <c r="D11" s="118" t="s">
        <v>66</v>
      </c>
      <c r="E11" s="59"/>
      <c r="F11" s="59"/>
      <c r="G11" s="59"/>
      <c r="H11" s="7"/>
      <c r="I11" s="15"/>
      <c r="J11" s="6" t="s">
        <v>55</v>
      </c>
      <c r="K11" s="7"/>
      <c r="L11" s="15"/>
      <c r="M11" s="15"/>
      <c r="N11" s="15"/>
      <c r="O11" s="15"/>
      <c r="P11" s="158"/>
    </row>
    <row r="12" spans="1:16" x14ac:dyDescent="0.2">
      <c r="A12" s="5" t="s">
        <v>169</v>
      </c>
      <c r="B12" s="58"/>
      <c r="C12" s="52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8"/>
    </row>
    <row r="13" spans="1:16" x14ac:dyDescent="0.2">
      <c r="A13" s="6" t="s">
        <v>168</v>
      </c>
      <c r="B13" s="7"/>
      <c r="C13" s="52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8"/>
    </row>
    <row r="14" spans="1:16" ht="13.5" thickBot="1" x14ac:dyDescent="0.25">
      <c r="A14" s="25"/>
      <c r="B14" s="15"/>
      <c r="C14" s="15"/>
      <c r="D14" s="15"/>
      <c r="E14" s="15"/>
      <c r="F14" s="15"/>
      <c r="G14" s="15"/>
      <c r="H14" s="15"/>
      <c r="I14" s="15"/>
      <c r="J14" s="68" t="s">
        <v>71</v>
      </c>
      <c r="K14" s="56"/>
      <c r="L14" s="4"/>
      <c r="M14" s="15"/>
      <c r="N14" s="15"/>
      <c r="O14" s="15"/>
      <c r="P14" s="158"/>
    </row>
    <row r="15" spans="1:16" ht="14.25" thickTop="1" thickBot="1" x14ac:dyDescent="0.25">
      <c r="A15" s="25"/>
      <c r="B15" s="15"/>
      <c r="C15" s="15"/>
      <c r="D15" s="15"/>
      <c r="E15" s="15"/>
      <c r="F15" s="15"/>
      <c r="G15" s="15"/>
      <c r="H15" s="15"/>
      <c r="I15" s="15"/>
      <c r="J15" s="5" t="s">
        <v>72</v>
      </c>
      <c r="K15" s="57"/>
      <c r="L15" s="124">
        <f>+$K$9*$K$3</f>
        <v>21.250000000000004</v>
      </c>
      <c r="M15" s="15"/>
      <c r="N15" s="15"/>
      <c r="O15" s="15"/>
      <c r="P15" s="158"/>
    </row>
    <row r="16" spans="1:16" ht="13.5" thickTop="1" x14ac:dyDescent="0.2">
      <c r="A16" s="25"/>
      <c r="B16" s="15"/>
      <c r="C16" s="125" t="s">
        <v>78</v>
      </c>
      <c r="D16" s="15"/>
      <c r="E16" s="127" t="s">
        <v>79</v>
      </c>
      <c r="F16" s="15"/>
      <c r="G16" s="15"/>
      <c r="H16" s="15"/>
      <c r="I16" s="15"/>
      <c r="J16" s="118" t="s">
        <v>73</v>
      </c>
      <c r="K16" s="59"/>
      <c r="L16" s="7"/>
      <c r="M16" s="15"/>
      <c r="N16" s="15"/>
      <c r="O16" s="15"/>
      <c r="P16" s="158"/>
    </row>
    <row r="17" spans="1:16" ht="13.5" thickBot="1" x14ac:dyDescent="0.25">
      <c r="A17" s="25"/>
      <c r="B17" s="15"/>
      <c r="C17" s="84"/>
      <c r="D17" s="15"/>
      <c r="E17" s="126">
        <v>1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8"/>
    </row>
    <row r="18" spans="1:16" ht="13.5" thickBot="1" x14ac:dyDescent="0.25">
      <c r="A18" s="2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8"/>
    </row>
    <row r="19" spans="1:16" ht="14.25" thickTop="1" thickBot="1" x14ac:dyDescent="0.25">
      <c r="A19" s="25"/>
      <c r="B19" s="110"/>
      <c r="C19" s="93"/>
      <c r="D19" s="93"/>
      <c r="E19" s="111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8"/>
    </row>
    <row r="20" spans="1:16" ht="17.25" thickTop="1" thickBot="1" x14ac:dyDescent="0.3">
      <c r="A20" s="25"/>
      <c r="B20" s="95"/>
      <c r="C20" s="72"/>
      <c r="D20" s="57" t="s">
        <v>75</v>
      </c>
      <c r="E20" s="151"/>
      <c r="F20" s="15"/>
      <c r="G20" s="15"/>
      <c r="H20" s="242" t="s">
        <v>179</v>
      </c>
      <c r="I20" s="243"/>
      <c r="J20" s="243"/>
      <c r="K20" s="243"/>
      <c r="L20" s="244"/>
      <c r="M20" s="15"/>
      <c r="N20" s="15"/>
      <c r="O20" s="15"/>
      <c r="P20" s="158"/>
    </row>
    <row r="21" spans="1:16" ht="13.5" thickBot="1" x14ac:dyDescent="0.25">
      <c r="A21" s="25"/>
      <c r="B21" s="95"/>
      <c r="C21" s="57"/>
      <c r="D21" s="57"/>
      <c r="E21" s="151"/>
      <c r="F21" s="15"/>
      <c r="G21" s="15"/>
      <c r="H21" s="137"/>
      <c r="I21" s="138"/>
      <c r="J21" s="138"/>
      <c r="K21" s="138"/>
      <c r="L21" s="139"/>
      <c r="M21" s="140"/>
      <c r="N21" s="15"/>
      <c r="O21" s="15"/>
      <c r="P21" s="158"/>
    </row>
    <row r="22" spans="1:16" ht="13.5" thickBot="1" x14ac:dyDescent="0.25">
      <c r="A22" s="25"/>
      <c r="B22" s="95"/>
      <c r="C22" s="34"/>
      <c r="D22" s="109" t="s">
        <v>166</v>
      </c>
      <c r="E22" s="152"/>
      <c r="F22" s="15"/>
      <c r="G22" s="15"/>
      <c r="H22" s="134" t="s">
        <v>176</v>
      </c>
      <c r="I22" s="135"/>
      <c r="J22" s="135"/>
      <c r="K22" s="136"/>
      <c r="L22" s="176">
        <f>K9</f>
        <v>21.250000000000004</v>
      </c>
      <c r="M22" s="15"/>
      <c r="N22" s="15"/>
      <c r="O22" s="15"/>
      <c r="P22" s="158"/>
    </row>
    <row r="23" spans="1:16" ht="13.5" thickBot="1" x14ac:dyDescent="0.25">
      <c r="A23" s="25"/>
      <c r="B23" s="95"/>
      <c r="C23" s="43"/>
      <c r="D23" s="57"/>
      <c r="E23" s="151"/>
      <c r="F23" s="15"/>
      <c r="G23" s="15"/>
      <c r="H23" s="137"/>
      <c r="I23" s="138"/>
      <c r="J23" s="138"/>
      <c r="K23" s="138"/>
      <c r="L23" s="139"/>
      <c r="M23" s="140"/>
      <c r="N23" s="15"/>
      <c r="O23" s="15"/>
      <c r="P23" s="158"/>
    </row>
    <row r="24" spans="1:16" ht="14.25" thickTop="1" thickBot="1" x14ac:dyDescent="0.25">
      <c r="A24" s="25"/>
      <c r="B24" s="95"/>
      <c r="C24" s="123"/>
      <c r="D24" s="109" t="s">
        <v>167</v>
      </c>
      <c r="E24" s="96"/>
      <c r="F24" s="15"/>
      <c r="G24" s="15"/>
      <c r="H24" s="226" t="s">
        <v>177</v>
      </c>
      <c r="I24" s="227"/>
      <c r="J24" s="227"/>
      <c r="K24" s="228"/>
      <c r="L24" s="176">
        <f>H9</f>
        <v>21.250000000000004</v>
      </c>
      <c r="M24" s="15"/>
      <c r="N24" s="15"/>
      <c r="O24" s="15"/>
      <c r="P24" s="158"/>
    </row>
    <row r="25" spans="1:16" ht="14.25" thickTop="1" thickBot="1" x14ac:dyDescent="0.25">
      <c r="A25" s="25"/>
      <c r="B25" s="97"/>
      <c r="C25" s="112"/>
      <c r="D25" s="98"/>
      <c r="E25" s="99"/>
      <c r="F25" s="15"/>
      <c r="G25" s="15"/>
      <c r="H25" s="137"/>
      <c r="I25" s="138"/>
      <c r="J25" s="138"/>
      <c r="K25" s="138"/>
      <c r="L25" s="139"/>
      <c r="M25" s="141"/>
      <c r="N25" s="15"/>
      <c r="O25" s="15"/>
      <c r="P25" s="158"/>
    </row>
    <row r="26" spans="1:16" ht="14.25" thickTop="1" thickBot="1" x14ac:dyDescent="0.25">
      <c r="A26" s="25"/>
      <c r="B26" s="15"/>
      <c r="C26" s="15"/>
      <c r="D26" s="15"/>
      <c r="E26" s="15"/>
      <c r="F26" s="15"/>
      <c r="G26" s="15"/>
      <c r="H26" s="231" t="s">
        <v>178</v>
      </c>
      <c r="I26" s="232"/>
      <c r="J26" s="232"/>
      <c r="K26" s="233"/>
      <c r="L26" s="177">
        <f>L15</f>
        <v>21.250000000000004</v>
      </c>
      <c r="M26" s="15"/>
      <c r="N26" s="15"/>
      <c r="O26" s="15"/>
      <c r="P26" s="158"/>
    </row>
    <row r="27" spans="1:16" ht="13.5" thickTop="1" x14ac:dyDescent="0.2">
      <c r="A27" s="165"/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71"/>
    </row>
  </sheetData>
  <sheetProtection sheet="1" objects="1" scenarios="1" selectLockedCells="1"/>
  <mergeCells count="3">
    <mergeCell ref="H26:K26"/>
    <mergeCell ref="H20:L20"/>
    <mergeCell ref="H24:K24"/>
  </mergeCells>
  <phoneticPr fontId="0" type="noConversion"/>
  <dataValidations count="2">
    <dataValidation type="list" allowBlank="1" showInputMessage="1" showErrorMessage="1" sqref="B3" xr:uid="{00000000-0002-0000-0200-000000000000}">
      <formula1>Soilnumber</formula1>
    </dataValidation>
    <dataValidation type="list" allowBlank="1" showInputMessage="1" showErrorMessage="1" sqref="B11" xr:uid="{00000000-0002-0000-0200-000001000000}">
      <formula1>duration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9"/>
  <sheetViews>
    <sheetView showGridLines="0" zoomScale="90" zoomScaleNormal="90" workbookViewId="0">
      <selection activeCell="B5" sqref="B5"/>
    </sheetView>
  </sheetViews>
  <sheetFormatPr defaultRowHeight="12.75" x14ac:dyDescent="0.2"/>
  <cols>
    <col min="1" max="1" width="24.85546875" customWidth="1"/>
    <col min="2" max="2" width="8" customWidth="1"/>
    <col min="3" max="3" width="2.28515625" customWidth="1"/>
    <col min="4" max="4" width="6.5703125" customWidth="1"/>
    <col min="5" max="5" width="14" customWidth="1"/>
    <col min="6" max="6" width="8.7109375" customWidth="1"/>
    <col min="7" max="7" width="9.7109375" customWidth="1"/>
    <col min="8" max="8" width="7.85546875" customWidth="1"/>
    <col min="9" max="9" width="8" customWidth="1"/>
    <col min="11" max="11" width="11.42578125" customWidth="1"/>
    <col min="12" max="12" width="8" customWidth="1"/>
    <col min="13" max="13" width="8.7109375" customWidth="1"/>
    <col min="14" max="14" width="4.5703125" customWidth="1"/>
    <col min="15" max="15" width="5" customWidth="1"/>
    <col min="16" max="16" width="19" customWidth="1"/>
    <col min="17" max="17" width="6.7109375" bestFit="1" customWidth="1"/>
    <col min="18" max="18" width="16.5703125" customWidth="1"/>
    <col min="19" max="19" width="17.28515625" bestFit="1" customWidth="1"/>
  </cols>
  <sheetData>
    <row r="1" spans="1:20" ht="21.75" customHeight="1" x14ac:dyDescent="0.25">
      <c r="A1" s="195" t="s">
        <v>184</v>
      </c>
      <c r="B1" s="194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</row>
    <row r="2" spans="1:20" ht="20.25" customHeight="1" x14ac:dyDescent="0.25">
      <c r="A2" s="153" t="s">
        <v>170</v>
      </c>
      <c r="B2" s="154"/>
      <c r="C2" s="154"/>
      <c r="D2" s="154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1"/>
    </row>
    <row r="3" spans="1:20" ht="13.5" thickBot="1" x14ac:dyDescent="0.25">
      <c r="A3" s="2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8"/>
    </row>
    <row r="4" spans="1:20" ht="16.5" thickBot="1" x14ac:dyDescent="0.35">
      <c r="A4" s="162" t="s">
        <v>105</v>
      </c>
      <c r="B4" s="77"/>
      <c r="C4" s="10"/>
      <c r="D4" s="15"/>
      <c r="E4" s="76" t="s">
        <v>93</v>
      </c>
      <c r="F4" s="77" t="s">
        <v>96</v>
      </c>
      <c r="G4" s="88" t="s">
        <v>156</v>
      </c>
      <c r="H4" s="10"/>
      <c r="I4" s="15"/>
      <c r="J4" s="15"/>
      <c r="K4" s="15"/>
      <c r="L4" s="15"/>
      <c r="M4" s="15"/>
      <c r="N4" s="15"/>
      <c r="O4" s="8"/>
      <c r="P4" s="8"/>
      <c r="Q4" s="8"/>
      <c r="R4" s="128"/>
      <c r="S4" s="15"/>
      <c r="T4" s="158"/>
    </row>
    <row r="5" spans="1:20" ht="13.5" thickBot="1" x14ac:dyDescent="0.25">
      <c r="A5" s="5" t="s">
        <v>82</v>
      </c>
      <c r="B5" s="104">
        <v>2.9</v>
      </c>
      <c r="C5" s="85"/>
      <c r="D5" s="15"/>
      <c r="E5" s="78"/>
      <c r="F5" s="57" t="s">
        <v>90</v>
      </c>
      <c r="G5" s="57" t="s">
        <v>101</v>
      </c>
      <c r="H5" s="34">
        <f>($H$19)*($B$5)</f>
        <v>1.4899243231379196</v>
      </c>
      <c r="I5" s="15"/>
      <c r="J5" s="15"/>
      <c r="K5" s="15"/>
      <c r="L5" s="15"/>
      <c r="M5" s="15"/>
      <c r="N5" s="15"/>
      <c r="O5" s="8"/>
      <c r="P5" s="8"/>
      <c r="Q5" s="8"/>
      <c r="R5" s="128"/>
      <c r="S5" s="15"/>
      <c r="T5" s="158"/>
    </row>
    <row r="6" spans="1:20" ht="15.75" thickTop="1" thickBot="1" x14ac:dyDescent="0.3">
      <c r="A6" s="5" t="s">
        <v>83</v>
      </c>
      <c r="B6" s="86" t="s">
        <v>85</v>
      </c>
      <c r="C6" s="85"/>
      <c r="D6" s="15"/>
      <c r="E6" s="12"/>
      <c r="F6" s="79" t="s">
        <v>91</v>
      </c>
      <c r="G6" s="79" t="s">
        <v>92</v>
      </c>
      <c r="H6" s="13" t="s">
        <v>33</v>
      </c>
      <c r="I6" s="15"/>
      <c r="J6" s="100" t="s">
        <v>111</v>
      </c>
      <c r="K6" s="93"/>
      <c r="L6" s="93"/>
      <c r="M6" s="94"/>
      <c r="N6" s="15"/>
      <c r="O6" s="8"/>
      <c r="P6" s="8"/>
      <c r="Q6" s="8"/>
      <c r="R6" s="128"/>
      <c r="S6" s="15"/>
      <c r="T6" s="158"/>
    </row>
    <row r="7" spans="1:20" ht="16.5" thickBot="1" x14ac:dyDescent="0.35">
      <c r="A7" s="163"/>
      <c r="B7" s="79"/>
      <c r="C7" s="13"/>
      <c r="D7" s="15"/>
      <c r="E7" s="15"/>
      <c r="F7" s="15"/>
      <c r="G7" s="15"/>
      <c r="H7" s="15"/>
      <c r="I7" s="15"/>
      <c r="J7" s="95" t="s">
        <v>110</v>
      </c>
      <c r="K7" s="57"/>
      <c r="L7" s="57"/>
      <c r="M7" s="103">
        <f xml:space="preserve"> (+$H$5-$H$10)*$B$19</f>
        <v>0.29346371495737233</v>
      </c>
      <c r="N7" s="15"/>
      <c r="O7" s="8"/>
      <c r="P7" s="36"/>
      <c r="Q7" s="129"/>
      <c r="R7" s="130"/>
      <c r="S7" s="15"/>
      <c r="T7" s="158"/>
    </row>
    <row r="8" spans="1:20" ht="13.5" thickBot="1" x14ac:dyDescent="0.25">
      <c r="A8" s="25"/>
      <c r="B8" s="15"/>
      <c r="C8" s="15"/>
      <c r="D8" s="15"/>
      <c r="E8" s="15"/>
      <c r="F8" s="15"/>
      <c r="G8" s="15"/>
      <c r="H8" s="15"/>
      <c r="I8" s="15"/>
      <c r="J8" s="95" t="s">
        <v>112</v>
      </c>
      <c r="K8" s="57"/>
      <c r="L8" s="57"/>
      <c r="M8" s="96"/>
      <c r="N8" s="15"/>
      <c r="O8" s="8"/>
      <c r="P8" s="36"/>
      <c r="Q8" s="8"/>
      <c r="R8" s="128"/>
      <c r="S8" s="15"/>
      <c r="T8" s="158"/>
    </row>
    <row r="9" spans="1:20" ht="16.5" thickBot="1" x14ac:dyDescent="0.35">
      <c r="A9" s="162" t="s">
        <v>104</v>
      </c>
      <c r="B9" s="77"/>
      <c r="C9" s="10"/>
      <c r="D9" s="15"/>
      <c r="E9" s="76" t="s">
        <v>94</v>
      </c>
      <c r="F9" s="92" t="s">
        <v>97</v>
      </c>
      <c r="G9" s="88" t="s">
        <v>157</v>
      </c>
      <c r="H9" s="10"/>
      <c r="I9" s="15"/>
      <c r="J9" s="97" t="s">
        <v>159</v>
      </c>
      <c r="K9" s="98"/>
      <c r="L9" s="98"/>
      <c r="M9" s="99" t="s">
        <v>113</v>
      </c>
      <c r="N9" s="15"/>
      <c r="O9" s="8"/>
      <c r="P9" s="36"/>
      <c r="Q9" s="129"/>
      <c r="R9" s="8"/>
      <c r="S9" s="15"/>
      <c r="T9" s="158"/>
    </row>
    <row r="10" spans="1:20" ht="14.25" thickTop="1" thickBot="1" x14ac:dyDescent="0.25">
      <c r="A10" s="5" t="s">
        <v>84</v>
      </c>
      <c r="B10" s="104">
        <v>4.3999999999999997E-2</v>
      </c>
      <c r="C10" s="85"/>
      <c r="D10" s="15"/>
      <c r="E10" s="78"/>
      <c r="F10" s="57" t="s">
        <v>90</v>
      </c>
      <c r="G10" s="57" t="s">
        <v>102</v>
      </c>
      <c r="H10" s="34">
        <f>($H$19)*($B$10)</f>
        <v>2.2605748351058091E-2</v>
      </c>
      <c r="I10" s="15"/>
      <c r="J10" s="15"/>
      <c r="K10" s="15"/>
      <c r="L10" s="15"/>
      <c r="M10" s="15"/>
      <c r="N10" s="15"/>
      <c r="O10" s="8"/>
      <c r="P10" s="36"/>
      <c r="Q10" s="8"/>
      <c r="R10" s="8"/>
      <c r="S10" s="15"/>
      <c r="T10" s="158"/>
    </row>
    <row r="11" spans="1:20" ht="13.5" thickBot="1" x14ac:dyDescent="0.25">
      <c r="A11" s="5" t="s">
        <v>83</v>
      </c>
      <c r="B11" s="57" t="s">
        <v>1</v>
      </c>
      <c r="C11" s="85"/>
      <c r="D11" s="15"/>
      <c r="E11" s="12"/>
      <c r="F11" s="79" t="s">
        <v>91</v>
      </c>
      <c r="G11" s="79" t="s">
        <v>92</v>
      </c>
      <c r="H11" s="13" t="s">
        <v>33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8"/>
    </row>
    <row r="12" spans="1:20" ht="13.5" thickBot="1" x14ac:dyDescent="0.25">
      <c r="A12" s="163"/>
      <c r="B12" s="79"/>
      <c r="C12" s="13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8"/>
    </row>
    <row r="13" spans="1:20" ht="20.25" customHeight="1" thickBot="1" x14ac:dyDescent="0.3">
      <c r="A13" s="25"/>
      <c r="B13" s="15"/>
      <c r="C13" s="15"/>
      <c r="D13" s="15"/>
      <c r="E13" s="15"/>
      <c r="F13" s="15"/>
      <c r="G13" s="15"/>
      <c r="H13" s="15"/>
      <c r="I13" s="15"/>
      <c r="J13" s="15"/>
      <c r="K13" s="68" t="s">
        <v>114</v>
      </c>
      <c r="L13" s="33"/>
      <c r="M13" s="159">
        <v>1</v>
      </c>
      <c r="N13" s="71">
        <f>IF($B$26=1,1.3479*(($H$5)^0.8024),+$N$14)</f>
        <v>1.8561139530802373</v>
      </c>
      <c r="O13" s="15"/>
      <c r="P13" s="15"/>
      <c r="Q13" s="15"/>
      <c r="R13" s="15"/>
      <c r="S13" s="15"/>
      <c r="T13" s="158"/>
    </row>
    <row r="14" spans="1:20" ht="15" thickBot="1" x14ac:dyDescent="0.3">
      <c r="A14" s="162" t="s">
        <v>106</v>
      </c>
      <c r="B14" s="77"/>
      <c r="C14" s="10"/>
      <c r="D14" s="15"/>
      <c r="E14" s="15"/>
      <c r="F14" s="15"/>
      <c r="G14" s="15"/>
      <c r="H14" s="15"/>
      <c r="I14" s="15"/>
      <c r="J14" s="15"/>
      <c r="K14" s="5" t="s">
        <v>40</v>
      </c>
      <c r="L14" s="40">
        <f>IF($B$26=1,+$N$13,+$N$14)</f>
        <v>1.8561139530802373</v>
      </c>
      <c r="M14" s="159">
        <v>2</v>
      </c>
      <c r="N14" s="71" t="str">
        <f>IF($B$26=2,1.5999*(($H$5)^0.7998),+$N$15)</f>
        <v>X</v>
      </c>
      <c r="O14" s="15"/>
      <c r="P14" s="15"/>
      <c r="Q14" s="15"/>
      <c r="R14" s="15"/>
      <c r="S14" s="15"/>
      <c r="T14" s="158"/>
    </row>
    <row r="15" spans="1:20" ht="17.25" thickTop="1" thickBot="1" x14ac:dyDescent="0.3">
      <c r="A15" s="182" t="s">
        <v>86</v>
      </c>
      <c r="B15" s="144">
        <f>+$B$5-$B$10</f>
        <v>2.8559999999999999</v>
      </c>
      <c r="C15" s="85"/>
      <c r="D15" s="15"/>
      <c r="E15" s="15"/>
      <c r="F15" s="15"/>
      <c r="G15" s="15"/>
      <c r="H15" s="15"/>
      <c r="I15" s="15"/>
      <c r="J15" s="15"/>
      <c r="K15" s="6" t="s">
        <v>37</v>
      </c>
      <c r="L15" s="35"/>
      <c r="M15" s="159">
        <v>3</v>
      </c>
      <c r="N15" s="71" t="str">
        <f>IF($B$26=3,1.8429*(($H$5)^0.7993),+$N$16)</f>
        <v>X</v>
      </c>
      <c r="O15" s="15"/>
      <c r="P15" s="242" t="s">
        <v>179</v>
      </c>
      <c r="Q15" s="243"/>
      <c r="R15" s="243"/>
      <c r="S15" s="244"/>
      <c r="T15" s="158"/>
    </row>
    <row r="16" spans="1:20" ht="16.5" thickBot="1" x14ac:dyDescent="0.35">
      <c r="A16" s="183" t="s">
        <v>95</v>
      </c>
      <c r="B16" s="79" t="s">
        <v>1</v>
      </c>
      <c r="C16" s="13"/>
      <c r="D16" s="15"/>
      <c r="E16" s="15"/>
      <c r="F16" s="15"/>
      <c r="G16" s="15"/>
      <c r="H16" s="15"/>
      <c r="I16" s="15"/>
      <c r="J16" s="15"/>
      <c r="K16" s="15"/>
      <c r="L16" s="37"/>
      <c r="M16" s="159">
        <v>4</v>
      </c>
      <c r="N16" s="71" t="str">
        <f>IF($B$26=4,2.2064*(($H$5)^0.8223),"X")</f>
        <v>X</v>
      </c>
      <c r="O16" s="15"/>
      <c r="P16" s="137"/>
      <c r="Q16" s="138"/>
      <c r="R16" s="138"/>
      <c r="S16" s="139"/>
      <c r="T16" s="158"/>
    </row>
    <row r="17" spans="1:20" ht="14.25" thickBot="1" x14ac:dyDescent="0.3">
      <c r="A17" s="2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37"/>
      <c r="M17" s="159"/>
      <c r="N17" s="159"/>
      <c r="O17" s="15"/>
      <c r="P17" s="134" t="s">
        <v>176</v>
      </c>
      <c r="Q17" s="135"/>
      <c r="R17" s="135"/>
      <c r="S17" s="142">
        <f>Q35</f>
        <v>0.29346371495737233</v>
      </c>
      <c r="T17" s="158"/>
    </row>
    <row r="18" spans="1:20" ht="15" thickBot="1" x14ac:dyDescent="0.3">
      <c r="A18" s="184"/>
      <c r="B18" s="77"/>
      <c r="C18" s="10"/>
      <c r="D18" s="15"/>
      <c r="E18" s="9" t="s">
        <v>103</v>
      </c>
      <c r="F18" s="77"/>
      <c r="G18" s="77"/>
      <c r="H18" s="10"/>
      <c r="I18" s="15"/>
      <c r="J18" s="15"/>
      <c r="K18" s="68" t="s">
        <v>115</v>
      </c>
      <c r="L18" s="33"/>
      <c r="M18" s="159">
        <v>1</v>
      </c>
      <c r="N18" s="71">
        <f>IF($B$26=1,1.3479*(($H$10)^0.8024),+$N$19)</f>
        <v>6.4429225329433501E-2</v>
      </c>
      <c r="O18" s="15"/>
      <c r="P18" s="137"/>
      <c r="Q18" s="138"/>
      <c r="R18" s="138"/>
      <c r="S18" s="139"/>
      <c r="T18" s="158"/>
    </row>
    <row r="19" spans="1:20" ht="14.25" thickBot="1" x14ac:dyDescent="0.3">
      <c r="A19" s="63" t="s">
        <v>107</v>
      </c>
      <c r="B19" s="104">
        <v>0.2</v>
      </c>
      <c r="C19" s="85"/>
      <c r="D19" s="15"/>
      <c r="E19" s="78" t="s">
        <v>100</v>
      </c>
      <c r="F19" s="57"/>
      <c r="G19" s="57"/>
      <c r="H19" s="34">
        <f>(+($F$23)/2)^-0.2069</f>
        <v>0.51376700797859298</v>
      </c>
      <c r="I19" s="15"/>
      <c r="J19" s="15"/>
      <c r="K19" s="5" t="s">
        <v>41</v>
      </c>
      <c r="L19" s="40">
        <f>IF($B$26=1,+$N$18,+$N$19)</f>
        <v>6.4429225329433501E-2</v>
      </c>
      <c r="M19" s="159">
        <v>2</v>
      </c>
      <c r="N19" s="71" t="str">
        <f>IF($B$26=2,1.5999*(($H$10)^0.7998),+$N$20)</f>
        <v>X</v>
      </c>
      <c r="O19" s="15"/>
      <c r="P19" s="146" t="s">
        <v>177</v>
      </c>
      <c r="Q19" s="147"/>
      <c r="R19" s="147"/>
      <c r="S19" s="142">
        <f>B23</f>
        <v>0.57120000000000004</v>
      </c>
      <c r="T19" s="158"/>
    </row>
    <row r="20" spans="1:20" ht="14.25" thickBot="1" x14ac:dyDescent="0.3">
      <c r="A20" s="163"/>
      <c r="B20" s="79" t="s">
        <v>87</v>
      </c>
      <c r="C20" s="13"/>
      <c r="D20" s="15"/>
      <c r="E20" s="12"/>
      <c r="F20" s="79"/>
      <c r="G20" s="79"/>
      <c r="H20" s="13"/>
      <c r="I20" s="15"/>
      <c r="J20" s="15"/>
      <c r="K20" s="6" t="s">
        <v>37</v>
      </c>
      <c r="L20" s="35"/>
      <c r="M20" s="159">
        <v>3</v>
      </c>
      <c r="N20" s="71" t="str">
        <f>IF($B$26=3,1.8429*(($H$10)^0.7993),+$N$21)</f>
        <v>X</v>
      </c>
      <c r="O20" s="15"/>
      <c r="P20" s="137"/>
      <c r="Q20" s="138"/>
      <c r="R20" s="138"/>
      <c r="S20" s="139"/>
      <c r="T20" s="158"/>
    </row>
    <row r="21" spans="1:20" ht="27.75" customHeight="1" thickBot="1" x14ac:dyDescent="0.3">
      <c r="A21" s="2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37"/>
      <c r="M21" s="159">
        <v>4</v>
      </c>
      <c r="N21" s="71" t="str">
        <f>IF($B$26=4,2.2064*(($H$10)^0.8223),"X")</f>
        <v>X</v>
      </c>
      <c r="O21" s="15"/>
      <c r="P21" s="148" t="s">
        <v>178</v>
      </c>
      <c r="Q21" s="149"/>
      <c r="R21" s="149"/>
      <c r="S21" s="143">
        <f>Q40</f>
        <v>0.35833694555016082</v>
      </c>
      <c r="T21" s="158"/>
    </row>
    <row r="22" spans="1:20" ht="16.5" thickBot="1" x14ac:dyDescent="0.35">
      <c r="A22" s="162" t="s">
        <v>109</v>
      </c>
      <c r="B22" s="88"/>
      <c r="C22" s="89"/>
      <c r="D22" s="15"/>
      <c r="E22" s="9" t="s">
        <v>98</v>
      </c>
      <c r="F22" s="10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8"/>
    </row>
    <row r="23" spans="1:20" ht="15.75" thickTop="1" thickBot="1" x14ac:dyDescent="0.3">
      <c r="A23" s="63" t="s">
        <v>88</v>
      </c>
      <c r="B23" s="124">
        <f>+$B$15*$B$19</f>
        <v>0.57120000000000004</v>
      </c>
      <c r="C23" s="85"/>
      <c r="D23" s="15"/>
      <c r="E23" s="78" t="s">
        <v>99</v>
      </c>
      <c r="F23" s="104">
        <v>50</v>
      </c>
      <c r="G23" s="15"/>
      <c r="H23" s="15"/>
      <c r="I23" s="15"/>
      <c r="J23" s="100" t="s">
        <v>119</v>
      </c>
      <c r="K23" s="93"/>
      <c r="L23" s="93"/>
      <c r="M23" s="94"/>
      <c r="N23" s="15"/>
      <c r="O23" s="15"/>
      <c r="P23" s="15"/>
      <c r="Q23" s="15"/>
      <c r="R23" s="15"/>
      <c r="S23" s="15"/>
      <c r="T23" s="158"/>
    </row>
    <row r="24" spans="1:20" ht="17.25" thickTop="1" thickBot="1" x14ac:dyDescent="0.35">
      <c r="A24" s="185" t="s">
        <v>108</v>
      </c>
      <c r="B24" s="90" t="s">
        <v>89</v>
      </c>
      <c r="C24" s="91"/>
      <c r="D24" s="15"/>
      <c r="E24" s="12"/>
      <c r="F24" s="80" t="s">
        <v>14</v>
      </c>
      <c r="G24" s="15"/>
      <c r="H24" s="15"/>
      <c r="I24" s="15"/>
      <c r="J24" s="95" t="s">
        <v>116</v>
      </c>
      <c r="K24" s="57"/>
      <c r="L24" s="101">
        <f xml:space="preserve"> (+$L$14-$L$19)*$B$19</f>
        <v>0.35833694555016082</v>
      </c>
      <c r="M24" s="96"/>
      <c r="N24" s="15"/>
      <c r="O24" s="15"/>
      <c r="P24" s="15"/>
      <c r="Q24" s="15"/>
      <c r="R24" s="15"/>
      <c r="S24" s="15"/>
      <c r="T24" s="158"/>
    </row>
    <row r="25" spans="1:20" ht="13.5" thickBot="1" x14ac:dyDescent="0.25">
      <c r="A25" s="25"/>
      <c r="B25" s="15"/>
      <c r="C25" s="15"/>
      <c r="D25" s="15"/>
      <c r="E25" s="15"/>
      <c r="F25" s="15"/>
      <c r="G25" s="15"/>
      <c r="H25" s="15"/>
      <c r="I25" s="15"/>
      <c r="J25" s="97" t="s">
        <v>117</v>
      </c>
      <c r="K25" s="98"/>
      <c r="L25" s="98" t="s">
        <v>118</v>
      </c>
      <c r="M25" s="99"/>
      <c r="N25" s="15"/>
      <c r="O25" s="15"/>
      <c r="P25" s="15"/>
      <c r="Q25" s="15"/>
      <c r="R25" s="15"/>
      <c r="S25" s="15"/>
      <c r="T25" s="158"/>
    </row>
    <row r="26" spans="1:20" ht="27" thickTop="1" thickBot="1" x14ac:dyDescent="0.25">
      <c r="A26" s="164" t="s">
        <v>45</v>
      </c>
      <c r="B26" s="105">
        <v>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8"/>
    </row>
    <row r="27" spans="1:20" x14ac:dyDescent="0.2">
      <c r="A27" s="2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8"/>
    </row>
    <row r="28" spans="1:20" ht="18.75" thickBot="1" x14ac:dyDescent="0.3">
      <c r="A28" s="186" t="s">
        <v>171</v>
      </c>
      <c r="B28" s="187"/>
      <c r="C28" s="187"/>
      <c r="D28" s="187"/>
      <c r="E28" s="187"/>
      <c r="F28" s="15"/>
      <c r="G28" s="15"/>
      <c r="H28" s="15"/>
      <c r="I28" s="15"/>
      <c r="J28" s="15"/>
      <c r="K28" s="15"/>
      <c r="L28" s="15"/>
      <c r="M28" s="15"/>
      <c r="N28" s="15"/>
      <c r="O28" s="188" t="s">
        <v>172</v>
      </c>
      <c r="P28" s="187"/>
      <c r="Q28" s="187"/>
      <c r="R28" s="15"/>
      <c r="S28" s="15"/>
      <c r="T28" s="158"/>
    </row>
    <row r="29" spans="1:20" ht="16.5" thickBot="1" x14ac:dyDescent="0.35">
      <c r="A29" s="162" t="s">
        <v>121</v>
      </c>
      <c r="B29" s="77"/>
      <c r="C29" s="10"/>
      <c r="D29" s="15"/>
      <c r="E29" s="9" t="s">
        <v>126</v>
      </c>
      <c r="F29" s="77"/>
      <c r="G29" s="10"/>
      <c r="H29" s="15"/>
      <c r="I29" s="9" t="s">
        <v>127</v>
      </c>
      <c r="J29" s="77"/>
      <c r="K29" s="10"/>
      <c r="L29" s="15"/>
      <c r="M29" s="15"/>
      <c r="N29" s="15"/>
      <c r="O29" s="15"/>
      <c r="P29" s="15"/>
      <c r="Q29" s="15"/>
      <c r="R29" s="15"/>
      <c r="S29" s="15"/>
      <c r="T29" s="158"/>
    </row>
    <row r="30" spans="1:20" ht="16.5" thickBot="1" x14ac:dyDescent="0.35">
      <c r="A30" s="5" t="s">
        <v>120</v>
      </c>
      <c r="B30" s="104">
        <v>20</v>
      </c>
      <c r="C30" s="85"/>
      <c r="D30" s="15"/>
      <c r="E30" s="78" t="s">
        <v>124</v>
      </c>
      <c r="F30" s="57"/>
      <c r="G30" s="34">
        <f>$B$34*$B$30</f>
        <v>36</v>
      </c>
      <c r="H30" s="15"/>
      <c r="I30" s="78" t="s">
        <v>128</v>
      </c>
      <c r="J30" s="57"/>
      <c r="K30" s="34">
        <f>(+($F$23))^-0.2069</f>
        <v>0.44512614733836864</v>
      </c>
      <c r="L30" s="15"/>
      <c r="M30" s="15"/>
      <c r="N30" s="15"/>
      <c r="O30" s="9" t="s">
        <v>109</v>
      </c>
      <c r="P30" s="88"/>
      <c r="Q30" s="89"/>
      <c r="R30" s="15"/>
      <c r="S30" s="15"/>
      <c r="T30" s="158"/>
    </row>
    <row r="31" spans="1:20" ht="14.25" thickTop="1" thickBot="1" x14ac:dyDescent="0.25">
      <c r="A31" s="163"/>
      <c r="B31" s="79" t="s">
        <v>87</v>
      </c>
      <c r="C31" s="13"/>
      <c r="D31" s="15"/>
      <c r="E31" s="12" t="s">
        <v>125</v>
      </c>
      <c r="F31" s="79"/>
      <c r="G31" s="13" t="s">
        <v>113</v>
      </c>
      <c r="H31" s="15"/>
      <c r="I31" s="12" t="s">
        <v>129</v>
      </c>
      <c r="J31" s="79"/>
      <c r="K31" s="13"/>
      <c r="L31" s="15"/>
      <c r="M31" s="15"/>
      <c r="N31" s="15"/>
      <c r="O31" s="11" t="s">
        <v>174</v>
      </c>
      <c r="P31" s="57"/>
      <c r="Q31" s="124">
        <f>+$B$15*$B$19</f>
        <v>0.57120000000000004</v>
      </c>
      <c r="R31" s="15"/>
      <c r="S31" s="15"/>
      <c r="T31" s="158"/>
    </row>
    <row r="32" spans="1:20" ht="13.5" thickBot="1" x14ac:dyDescent="0.25">
      <c r="A32" s="161"/>
      <c r="B32" s="8"/>
      <c r="C32" s="8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87" t="s">
        <v>173</v>
      </c>
      <c r="P32" s="90"/>
      <c r="Q32" s="91"/>
      <c r="R32" s="15"/>
      <c r="S32" s="15"/>
      <c r="T32" s="158"/>
    </row>
    <row r="33" spans="1:20" ht="14.25" thickTop="1" thickBot="1" x14ac:dyDescent="0.25">
      <c r="A33" s="189"/>
      <c r="B33" s="73"/>
      <c r="C33" s="46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8"/>
    </row>
    <row r="34" spans="1:20" ht="15" thickBot="1" x14ac:dyDescent="0.3">
      <c r="A34" s="63" t="s">
        <v>123</v>
      </c>
      <c r="B34" s="106">
        <v>1.8</v>
      </c>
      <c r="C34" s="74"/>
      <c r="D34" s="15"/>
      <c r="E34" s="9" t="s">
        <v>139</v>
      </c>
      <c r="F34" s="77"/>
      <c r="G34" s="10"/>
      <c r="H34" s="15"/>
      <c r="I34" s="15"/>
      <c r="J34" s="68" t="s">
        <v>149</v>
      </c>
      <c r="K34" s="33"/>
      <c r="L34" s="159">
        <v>1</v>
      </c>
      <c r="M34" s="71">
        <f>IF($B$26=1,1.3479*(($G$35)^0.8024),+$M$35)</f>
        <v>1.12831711476555</v>
      </c>
      <c r="N34" s="15"/>
      <c r="O34" s="9" t="s">
        <v>151</v>
      </c>
      <c r="P34" s="77"/>
      <c r="Q34" s="10"/>
      <c r="R34" s="15"/>
      <c r="S34" s="15"/>
      <c r="T34" s="158"/>
    </row>
    <row r="35" spans="1:20" ht="17.25" thickTop="1" thickBot="1" x14ac:dyDescent="0.35">
      <c r="A35" s="190" t="s">
        <v>122</v>
      </c>
      <c r="B35" s="75" t="s">
        <v>1</v>
      </c>
      <c r="C35" s="48"/>
      <c r="D35" s="15"/>
      <c r="E35" s="78" t="s">
        <v>138</v>
      </c>
      <c r="F35" s="57"/>
      <c r="G35" s="34">
        <f>$B$34*$K$30</f>
        <v>0.80122706520906362</v>
      </c>
      <c r="H35" s="15"/>
      <c r="I35" s="15"/>
      <c r="J35" s="5" t="s">
        <v>40</v>
      </c>
      <c r="K35" s="40">
        <f>IF($B$26=1,+$M$34,+$M$35)</f>
        <v>1.12831711476555</v>
      </c>
      <c r="L35" s="159">
        <v>2</v>
      </c>
      <c r="M35" s="71" t="str">
        <f>IF($B$26=2,1.5999*(($G$35)^0.7998),+$M$36)</f>
        <v>X</v>
      </c>
      <c r="N35" s="15"/>
      <c r="O35" s="11" t="s">
        <v>154</v>
      </c>
      <c r="P35" s="57"/>
      <c r="Q35" s="124">
        <f>$H$46+$M$7</f>
        <v>0.29346371495737233</v>
      </c>
      <c r="R35" s="15"/>
      <c r="S35" s="15"/>
      <c r="T35" s="158"/>
    </row>
    <row r="36" spans="1:20" ht="17.25" thickTop="1" thickBot="1" x14ac:dyDescent="0.35">
      <c r="A36" s="25"/>
      <c r="B36" s="15"/>
      <c r="C36" s="15"/>
      <c r="D36" s="15"/>
      <c r="E36" s="12" t="s">
        <v>134</v>
      </c>
      <c r="F36" s="79"/>
      <c r="G36" s="13" t="s">
        <v>133</v>
      </c>
      <c r="H36" s="15"/>
      <c r="I36" s="15"/>
      <c r="J36" s="6" t="s">
        <v>37</v>
      </c>
      <c r="K36" s="35"/>
      <c r="L36" s="159">
        <v>3</v>
      </c>
      <c r="M36" s="71" t="str">
        <f>IF($B$26=3,1.8429*(($G$35)^0.7993),+$M$37)</f>
        <v>X</v>
      </c>
      <c r="N36" s="15"/>
      <c r="O36" s="12" t="s">
        <v>152</v>
      </c>
      <c r="P36" s="79"/>
      <c r="Q36" s="13" t="s">
        <v>140</v>
      </c>
      <c r="R36" s="15"/>
      <c r="S36" s="15"/>
      <c r="T36" s="158"/>
    </row>
    <row r="37" spans="1:20" ht="27" thickBot="1" x14ac:dyDescent="0.3">
      <c r="A37" s="102" t="s">
        <v>180</v>
      </c>
      <c r="B37" s="15"/>
      <c r="C37" s="15"/>
      <c r="D37" s="15"/>
      <c r="E37" s="15"/>
      <c r="F37" s="15"/>
      <c r="G37" s="15"/>
      <c r="H37" s="15"/>
      <c r="I37" s="15"/>
      <c r="J37" s="15"/>
      <c r="K37" s="37"/>
      <c r="L37" s="159">
        <v>4</v>
      </c>
      <c r="M37" s="71" t="str">
        <f>IF($B$26=4,2.2064*(($G$35)^0.8223),"X")</f>
        <v>X</v>
      </c>
      <c r="N37" s="15"/>
      <c r="O37" s="15"/>
      <c r="P37" s="15"/>
      <c r="Q37" s="15"/>
      <c r="R37" s="15"/>
      <c r="S37" s="15"/>
      <c r="T37" s="158"/>
    </row>
    <row r="38" spans="1:20" ht="15" thickBot="1" x14ac:dyDescent="0.3">
      <c r="A38" s="22" t="s">
        <v>130</v>
      </c>
      <c r="B38" s="15"/>
      <c r="C38" s="191"/>
      <c r="D38" s="15"/>
      <c r="E38" s="9" t="s">
        <v>137</v>
      </c>
      <c r="F38" s="77"/>
      <c r="G38" s="10"/>
      <c r="H38" s="15"/>
      <c r="I38" s="15"/>
      <c r="J38" s="15"/>
      <c r="K38" s="37"/>
      <c r="L38" s="159"/>
      <c r="M38" s="159"/>
      <c r="N38" s="15"/>
      <c r="O38" s="15"/>
      <c r="P38" s="15"/>
      <c r="Q38" s="15"/>
      <c r="R38" s="15"/>
      <c r="S38" s="15"/>
      <c r="T38" s="158"/>
    </row>
    <row r="39" spans="1:20" ht="16.5" thickBot="1" x14ac:dyDescent="0.35">
      <c r="A39" s="173" t="s">
        <v>182</v>
      </c>
      <c r="B39" s="15"/>
      <c r="C39" s="192" t="s">
        <v>181</v>
      </c>
      <c r="D39" s="15"/>
      <c r="E39" s="78" t="s">
        <v>136</v>
      </c>
      <c r="F39" s="57"/>
      <c r="G39" s="34">
        <f>$G$35*$A$41</f>
        <v>0.80122706520906362</v>
      </c>
      <c r="H39" s="15"/>
      <c r="I39" s="15"/>
      <c r="J39" s="68" t="s">
        <v>150</v>
      </c>
      <c r="K39" s="33"/>
      <c r="L39" s="159">
        <v>1</v>
      </c>
      <c r="M39" s="71">
        <f>IF($B$26=1,1.3479*(($G$39)^0.8024),+$M$40)</f>
        <v>1.12831711476555</v>
      </c>
      <c r="N39" s="15"/>
      <c r="O39" s="9" t="s">
        <v>175</v>
      </c>
      <c r="P39" s="77"/>
      <c r="Q39" s="10"/>
      <c r="R39" s="15"/>
      <c r="S39" s="15"/>
      <c r="T39" s="158"/>
    </row>
    <row r="40" spans="1:20" ht="15.75" thickTop="1" thickBot="1" x14ac:dyDescent="0.3">
      <c r="A40" s="22"/>
      <c r="B40" s="15"/>
      <c r="C40" s="192" t="s">
        <v>182</v>
      </c>
      <c r="D40" s="15"/>
      <c r="E40" s="12" t="s">
        <v>135</v>
      </c>
      <c r="F40" s="79"/>
      <c r="G40" s="13" t="s">
        <v>133</v>
      </c>
      <c r="H40" s="15"/>
      <c r="I40" s="15"/>
      <c r="J40" s="5" t="s">
        <v>41</v>
      </c>
      <c r="K40" s="40">
        <f>IF($B$26=1,+$M$39,+$M$40)</f>
        <v>1.12831711476555</v>
      </c>
      <c r="L40" s="159">
        <v>2</v>
      </c>
      <c r="M40" s="71" t="str">
        <f>IF($B$26=2,1.5999*(($G$39)^0.7998),+$M$41)</f>
        <v>X</v>
      </c>
      <c r="N40" s="15"/>
      <c r="O40" s="11" t="s">
        <v>153</v>
      </c>
      <c r="P40" s="57"/>
      <c r="Q40" s="124">
        <f>$M$46+$L$24</f>
        <v>0.35833694555016082</v>
      </c>
      <c r="R40" s="15"/>
      <c r="S40" s="15"/>
      <c r="T40" s="158"/>
    </row>
    <row r="41" spans="1:20" ht="16.5" thickBot="1" x14ac:dyDescent="0.35">
      <c r="A41" s="174">
        <f>IF($A$39="Y",0.35, 1)</f>
        <v>1</v>
      </c>
      <c r="B41" s="15"/>
      <c r="C41" s="192"/>
      <c r="D41" s="15"/>
      <c r="E41" s="15"/>
      <c r="F41" s="15"/>
      <c r="G41" s="15"/>
      <c r="H41" s="15"/>
      <c r="I41" s="15"/>
      <c r="J41" s="6" t="s">
        <v>37</v>
      </c>
      <c r="K41" s="35"/>
      <c r="L41" s="159">
        <v>3</v>
      </c>
      <c r="M41" s="71" t="str">
        <f>IF($B$26=3,1.8429*(($G$39)^0.7993),+$M$42)</f>
        <v>X</v>
      </c>
      <c r="N41" s="15"/>
      <c r="O41" s="12" t="s">
        <v>155</v>
      </c>
      <c r="P41" s="79"/>
      <c r="Q41" s="13" t="s">
        <v>145</v>
      </c>
      <c r="R41" s="15"/>
      <c r="S41" s="15"/>
      <c r="T41" s="158"/>
    </row>
    <row r="42" spans="1:20" ht="14.25" thickBot="1" x14ac:dyDescent="0.3">
      <c r="A42" s="22" t="s">
        <v>131</v>
      </c>
      <c r="B42" s="15"/>
      <c r="C42" s="15"/>
      <c r="D42" s="15"/>
      <c r="E42" s="15"/>
      <c r="F42" s="15"/>
      <c r="G42" s="15"/>
      <c r="H42" s="15"/>
      <c r="I42" s="15"/>
      <c r="J42" s="15"/>
      <c r="K42" s="37"/>
      <c r="L42" s="159">
        <v>4</v>
      </c>
      <c r="M42" s="71" t="str">
        <f>IF($B$26=4,2.2064*(($G$39)^0.8223),"X")</f>
        <v>X</v>
      </c>
      <c r="N42" s="15"/>
      <c r="O42" s="15"/>
      <c r="P42" s="15"/>
      <c r="Q42" s="15"/>
      <c r="R42" s="15"/>
      <c r="S42" s="15"/>
      <c r="T42" s="158"/>
    </row>
    <row r="43" spans="1:20" ht="15" thickBot="1" x14ac:dyDescent="0.3">
      <c r="A43" s="23" t="s">
        <v>132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8"/>
    </row>
    <row r="44" spans="1:20" ht="14.25" x14ac:dyDescent="0.25">
      <c r="A44" s="25"/>
      <c r="B44" s="15"/>
      <c r="C44" s="15"/>
      <c r="D44" s="15"/>
      <c r="E44" s="9" t="s">
        <v>144</v>
      </c>
      <c r="F44" s="77"/>
      <c r="G44" s="77"/>
      <c r="H44" s="10"/>
      <c r="I44" s="15"/>
      <c r="J44" s="9" t="s">
        <v>147</v>
      </c>
      <c r="K44" s="77"/>
      <c r="L44" s="77"/>
      <c r="M44" s="10"/>
      <c r="N44" s="15"/>
      <c r="O44" s="15"/>
      <c r="P44" s="15"/>
      <c r="Q44" s="15"/>
      <c r="R44" s="15"/>
      <c r="S44" s="15"/>
      <c r="T44" s="158"/>
    </row>
    <row r="45" spans="1:20" ht="16.5" thickBot="1" x14ac:dyDescent="0.35">
      <c r="A45" s="25"/>
      <c r="B45" s="15"/>
      <c r="C45" s="15"/>
      <c r="D45" s="15"/>
      <c r="E45" s="78" t="s">
        <v>141</v>
      </c>
      <c r="F45" s="57"/>
      <c r="G45" s="57"/>
      <c r="H45" s="85"/>
      <c r="I45" s="15"/>
      <c r="J45" s="78" t="s">
        <v>146</v>
      </c>
      <c r="K45" s="57"/>
      <c r="L45" s="57"/>
      <c r="M45" s="85"/>
      <c r="N45" s="15"/>
      <c r="O45" s="15"/>
      <c r="P45" s="15"/>
      <c r="Q45" s="15"/>
      <c r="R45" s="15"/>
      <c r="S45" s="15"/>
      <c r="T45" s="158"/>
    </row>
    <row r="46" spans="1:20" ht="13.5" thickBot="1" x14ac:dyDescent="0.25">
      <c r="A46" s="25"/>
      <c r="B46" s="15"/>
      <c r="C46" s="15"/>
      <c r="D46" s="15"/>
      <c r="E46" s="78" t="s">
        <v>142</v>
      </c>
      <c r="F46" s="57"/>
      <c r="G46" s="57"/>
      <c r="H46" s="40">
        <f>($G$35-$G$39)*$B$30</f>
        <v>0</v>
      </c>
      <c r="I46" s="15"/>
      <c r="J46" s="78" t="s">
        <v>148</v>
      </c>
      <c r="K46" s="57"/>
      <c r="L46" s="57"/>
      <c r="M46" s="40">
        <f>($K$35-$K$40)*$B$30</f>
        <v>0</v>
      </c>
      <c r="N46" s="15"/>
      <c r="O46" s="15"/>
      <c r="P46" s="15"/>
      <c r="Q46" s="15"/>
      <c r="R46" s="15"/>
      <c r="S46" s="15"/>
      <c r="T46" s="158"/>
    </row>
    <row r="47" spans="1:20" ht="13.5" thickBot="1" x14ac:dyDescent="0.25">
      <c r="A47" s="25"/>
      <c r="B47" s="15"/>
      <c r="C47" s="15"/>
      <c r="D47" s="15"/>
      <c r="E47" s="12" t="s">
        <v>143</v>
      </c>
      <c r="F47" s="79"/>
      <c r="G47" s="79"/>
      <c r="H47" s="13" t="s">
        <v>140</v>
      </c>
      <c r="I47" s="15"/>
      <c r="J47" s="12" t="s">
        <v>143</v>
      </c>
      <c r="K47" s="79"/>
      <c r="L47" s="79"/>
      <c r="M47" s="13" t="s">
        <v>145</v>
      </c>
      <c r="N47" s="15"/>
      <c r="O47" s="15"/>
      <c r="P47" s="15"/>
      <c r="Q47" s="15"/>
      <c r="R47" s="15"/>
      <c r="S47" s="15"/>
      <c r="T47" s="158"/>
    </row>
    <row r="48" spans="1:20" x14ac:dyDescent="0.2">
      <c r="A48" s="2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8"/>
    </row>
    <row r="49" spans="1:20" x14ac:dyDescent="0.2">
      <c r="A49" s="165"/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71"/>
    </row>
  </sheetData>
  <sheetProtection sheet="1" objects="1" scenarios="1" selectLockedCells="1"/>
  <mergeCells count="1">
    <mergeCell ref="P15:S15"/>
  </mergeCells>
  <phoneticPr fontId="0" type="noConversion"/>
  <dataValidations count="2">
    <dataValidation type="list" allowBlank="1" showInputMessage="1" showErrorMessage="1" sqref="A39" xr:uid="{00000000-0002-0000-0300-000000000000}">
      <formula1>$C$39:$C$40</formula1>
    </dataValidation>
    <dataValidation type="list" allowBlank="1" showInputMessage="1" showErrorMessage="1" sqref="B26" xr:uid="{00000000-0002-0000-0300-000001000000}">
      <formula1>Soilnumber</formula1>
    </dataValidation>
  </dataValidations>
  <pageMargins left="0" right="0" top="0" bottom="0" header="0.5" footer="0.5"/>
  <pageSetup scale="7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B8DBC-C6BE-400D-AE4E-00501017F3FE}">
  <dimension ref="A1"/>
  <sheetViews>
    <sheetView workbookViewId="0">
      <selection activeCell="S6" sqref="S6"/>
    </sheetView>
  </sheetViews>
  <sheetFormatPr defaultRowHeight="12.75" x14ac:dyDescent="0.2"/>
  <sheetData/>
  <pageMargins left="0.7" right="0.7" top="0.75" bottom="0.75" header="0.3" footer="0.3"/>
  <pageSetup paperSize="496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8195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16</xdr:col>
                <xdr:colOff>476250</xdr:colOff>
                <xdr:row>57</xdr:row>
                <xdr:rowOff>152400</xdr:rowOff>
              </to>
            </anchor>
          </objectPr>
        </oleObject>
      </mc:Choice>
      <mc:Fallback>
        <oleObject progId="Word.Document.12" shapeId="819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0823A-5BE6-4953-9E9F-1798A09AF26F}">
  <dimension ref="A1:F32"/>
  <sheetViews>
    <sheetView workbookViewId="0">
      <selection activeCell="J14" sqref="J14"/>
    </sheetView>
  </sheetViews>
  <sheetFormatPr defaultRowHeight="12.75" x14ac:dyDescent="0.2"/>
  <cols>
    <col min="1" max="1" width="21.42578125" customWidth="1"/>
    <col min="2" max="2" width="20.140625" customWidth="1"/>
    <col min="3" max="3" width="20" customWidth="1"/>
    <col min="4" max="4" width="21.42578125" customWidth="1"/>
    <col min="5" max="5" width="25.140625" customWidth="1"/>
    <col min="6" max="6" width="16.140625" customWidth="1"/>
  </cols>
  <sheetData>
    <row r="1" spans="1:6" ht="15.75" x14ac:dyDescent="0.25">
      <c r="A1" s="196" t="s">
        <v>203</v>
      </c>
      <c r="B1" s="196"/>
      <c r="C1" s="218"/>
    </row>
    <row r="2" spans="1:6" ht="18.75" x14ac:dyDescent="0.25">
      <c r="A2" s="196" t="s">
        <v>202</v>
      </c>
      <c r="B2" s="196" t="s">
        <v>188</v>
      </c>
      <c r="C2" s="196" t="s">
        <v>189</v>
      </c>
      <c r="D2" s="196" t="s">
        <v>190</v>
      </c>
      <c r="E2" s="196" t="s">
        <v>197</v>
      </c>
    </row>
    <row r="3" spans="1:6" x14ac:dyDescent="0.2">
      <c r="A3" s="213">
        <v>1</v>
      </c>
      <c r="B3" s="214">
        <v>2</v>
      </c>
      <c r="C3" s="214">
        <v>2</v>
      </c>
      <c r="D3" s="214">
        <v>2</v>
      </c>
      <c r="E3" s="26">
        <f>B3*C3*D3</f>
        <v>8</v>
      </c>
    </row>
    <row r="4" spans="1:6" x14ac:dyDescent="0.2">
      <c r="A4" s="213">
        <v>2</v>
      </c>
      <c r="B4" s="214">
        <v>0</v>
      </c>
      <c r="C4" s="214">
        <v>0</v>
      </c>
      <c r="D4" s="214">
        <v>0</v>
      </c>
      <c r="E4" s="26">
        <f t="shared" ref="E4:E7" si="0">B4*C4*D4</f>
        <v>0</v>
      </c>
    </row>
    <row r="5" spans="1:6" x14ac:dyDescent="0.2">
      <c r="A5" s="213">
        <v>3</v>
      </c>
      <c r="B5" s="214">
        <v>0</v>
      </c>
      <c r="C5" s="214">
        <v>0</v>
      </c>
      <c r="D5" s="214">
        <v>0</v>
      </c>
      <c r="E5" s="26">
        <f t="shared" si="0"/>
        <v>0</v>
      </c>
    </row>
    <row r="6" spans="1:6" x14ac:dyDescent="0.2">
      <c r="A6" s="213">
        <v>4</v>
      </c>
      <c r="B6" s="214">
        <v>0</v>
      </c>
      <c r="C6" s="214">
        <v>0</v>
      </c>
      <c r="D6" s="214">
        <v>0</v>
      </c>
      <c r="E6" s="26">
        <f t="shared" si="0"/>
        <v>0</v>
      </c>
    </row>
    <row r="7" spans="1:6" x14ac:dyDescent="0.2">
      <c r="A7" s="213">
        <v>5</v>
      </c>
      <c r="B7" s="214">
        <v>0</v>
      </c>
      <c r="C7" s="214">
        <v>0</v>
      </c>
      <c r="D7" s="214">
        <v>0</v>
      </c>
      <c r="E7" s="26">
        <f t="shared" si="0"/>
        <v>0</v>
      </c>
    </row>
    <row r="8" spans="1:6" ht="18.75" x14ac:dyDescent="0.25">
      <c r="A8" s="196" t="s">
        <v>201</v>
      </c>
      <c r="B8" s="26"/>
      <c r="C8" s="26"/>
      <c r="D8" s="26"/>
      <c r="E8" s="199">
        <f>SUM(E3:E7)</f>
        <v>8</v>
      </c>
    </row>
    <row r="10" spans="1:6" ht="15.75" x14ac:dyDescent="0.25">
      <c r="A10" s="196" t="s">
        <v>209</v>
      </c>
      <c r="B10" s="196"/>
      <c r="C10" s="218"/>
    </row>
    <row r="11" spans="1:6" ht="18.75" x14ac:dyDescent="0.25">
      <c r="A11" s="145" t="s">
        <v>202</v>
      </c>
      <c r="B11" s="145" t="s">
        <v>188</v>
      </c>
      <c r="C11" s="145" t="s">
        <v>190</v>
      </c>
      <c r="D11" s="145" t="s">
        <v>204</v>
      </c>
      <c r="E11" s="145" t="s">
        <v>205</v>
      </c>
      <c r="F11" s="204" t="s">
        <v>206</v>
      </c>
    </row>
    <row r="12" spans="1:6" x14ac:dyDescent="0.2">
      <c r="A12" s="213">
        <v>1</v>
      </c>
      <c r="B12" s="214">
        <v>2</v>
      </c>
      <c r="C12" s="214">
        <v>2</v>
      </c>
      <c r="D12" s="214">
        <v>4</v>
      </c>
      <c r="E12" s="214">
        <v>2</v>
      </c>
      <c r="F12" s="205">
        <f>B12*C12*(D12+E12)*0.5</f>
        <v>12</v>
      </c>
    </row>
    <row r="13" spans="1:6" x14ac:dyDescent="0.2">
      <c r="A13" s="213">
        <v>2</v>
      </c>
      <c r="B13" s="214">
        <v>0</v>
      </c>
      <c r="C13" s="214">
        <v>0</v>
      </c>
      <c r="D13" s="214">
        <v>0</v>
      </c>
      <c r="E13" s="214">
        <v>0</v>
      </c>
      <c r="F13" s="205">
        <f t="shared" ref="F13:F16" si="1">B13*C13*(D13+E13)*0.5</f>
        <v>0</v>
      </c>
    </row>
    <row r="14" spans="1:6" x14ac:dyDescent="0.2">
      <c r="A14" s="213">
        <v>3</v>
      </c>
      <c r="B14" s="214">
        <v>0</v>
      </c>
      <c r="C14" s="214">
        <v>0</v>
      </c>
      <c r="D14" s="214">
        <v>0</v>
      </c>
      <c r="E14" s="214">
        <v>0</v>
      </c>
      <c r="F14" s="205">
        <f t="shared" si="1"/>
        <v>0</v>
      </c>
    </row>
    <row r="15" spans="1:6" x14ac:dyDescent="0.2">
      <c r="A15" s="213">
        <v>4</v>
      </c>
      <c r="B15" s="214">
        <v>0</v>
      </c>
      <c r="C15" s="214">
        <v>0</v>
      </c>
      <c r="D15" s="214">
        <v>0</v>
      </c>
      <c r="E15" s="214">
        <v>0</v>
      </c>
      <c r="F15" s="205">
        <f t="shared" si="1"/>
        <v>0</v>
      </c>
    </row>
    <row r="16" spans="1:6" x14ac:dyDescent="0.2">
      <c r="A16" s="213">
        <v>5</v>
      </c>
      <c r="B16" s="214">
        <v>0</v>
      </c>
      <c r="C16" s="214">
        <v>0</v>
      </c>
      <c r="D16" s="214">
        <v>0</v>
      </c>
      <c r="E16" s="214">
        <v>0</v>
      </c>
      <c r="F16" s="205">
        <f t="shared" si="1"/>
        <v>0</v>
      </c>
    </row>
    <row r="17" spans="1:6" ht="18.75" x14ac:dyDescent="0.25">
      <c r="A17" s="202" t="s">
        <v>201</v>
      </c>
      <c r="F17" s="206">
        <f>SUM(F12:F16)</f>
        <v>12</v>
      </c>
    </row>
    <row r="18" spans="1:6" ht="15.75" x14ac:dyDescent="0.25">
      <c r="A18" s="210"/>
      <c r="F18" s="211"/>
    </row>
    <row r="19" spans="1:6" ht="15.75" x14ac:dyDescent="0.25">
      <c r="A19" s="210" t="s">
        <v>208</v>
      </c>
      <c r="F19" s="211"/>
    </row>
    <row r="20" spans="1:6" ht="18.75" x14ac:dyDescent="0.25">
      <c r="A20" s="212" t="s">
        <v>202</v>
      </c>
      <c r="B20" s="145" t="s">
        <v>188</v>
      </c>
      <c r="C20" s="145" t="s">
        <v>190</v>
      </c>
      <c r="D20" s="145" t="s">
        <v>207</v>
      </c>
      <c r="E20" s="204" t="s">
        <v>206</v>
      </c>
      <c r="F20" s="211"/>
    </row>
    <row r="21" spans="1:6" x14ac:dyDescent="0.2">
      <c r="A21" s="215">
        <v>1</v>
      </c>
      <c r="B21" s="216">
        <v>2</v>
      </c>
      <c r="C21" s="216">
        <v>2</v>
      </c>
      <c r="D21" s="216">
        <v>2</v>
      </c>
      <c r="E21" s="217">
        <f t="shared" ref="E21:E25" si="2">B21*C21*D21/2</f>
        <v>4</v>
      </c>
      <c r="F21" s="211"/>
    </row>
    <row r="22" spans="1:6" x14ac:dyDescent="0.2">
      <c r="A22" s="215">
        <v>2</v>
      </c>
      <c r="B22" s="216">
        <v>0</v>
      </c>
      <c r="C22" s="216">
        <v>0</v>
      </c>
      <c r="D22" s="216">
        <v>0</v>
      </c>
      <c r="E22" s="217">
        <f t="shared" si="2"/>
        <v>0</v>
      </c>
      <c r="F22" s="211"/>
    </row>
    <row r="23" spans="1:6" x14ac:dyDescent="0.2">
      <c r="A23" s="215">
        <v>3</v>
      </c>
      <c r="B23" s="216">
        <v>0</v>
      </c>
      <c r="C23" s="216">
        <v>0</v>
      </c>
      <c r="D23" s="216">
        <v>0</v>
      </c>
      <c r="E23" s="217">
        <f t="shared" si="2"/>
        <v>0</v>
      </c>
      <c r="F23" s="211"/>
    </row>
    <row r="24" spans="1:6" x14ac:dyDescent="0.2">
      <c r="A24" s="215">
        <v>4</v>
      </c>
      <c r="B24" s="216">
        <v>0</v>
      </c>
      <c r="C24" s="216">
        <v>0</v>
      </c>
      <c r="D24" s="216">
        <v>0</v>
      </c>
      <c r="E24" s="217">
        <f t="shared" si="2"/>
        <v>0</v>
      </c>
      <c r="F24" s="211"/>
    </row>
    <row r="25" spans="1:6" x14ac:dyDescent="0.2">
      <c r="A25" s="215">
        <v>5</v>
      </c>
      <c r="B25" s="216">
        <v>0</v>
      </c>
      <c r="C25" s="216">
        <v>0</v>
      </c>
      <c r="D25" s="216">
        <v>0</v>
      </c>
      <c r="E25" s="217">
        <f t="shared" si="2"/>
        <v>0</v>
      </c>
      <c r="F25" s="211"/>
    </row>
    <row r="26" spans="1:6" ht="18.75" x14ac:dyDescent="0.25">
      <c r="A26" s="202" t="s">
        <v>201</v>
      </c>
      <c r="B26" s="145"/>
      <c r="C26" s="145"/>
      <c r="D26" s="145"/>
      <c r="E26" s="199">
        <f>SUM(E21:E25)</f>
        <v>4</v>
      </c>
      <c r="F26" s="211"/>
    </row>
    <row r="27" spans="1:6" x14ac:dyDescent="0.2">
      <c r="A27" s="212"/>
      <c r="B27" s="145"/>
      <c r="C27" s="145"/>
      <c r="D27" s="145"/>
      <c r="E27" s="145"/>
      <c r="F27" s="211"/>
    </row>
    <row r="29" spans="1:6" ht="18" x14ac:dyDescent="0.25">
      <c r="A29" s="203" t="s">
        <v>195</v>
      </c>
    </row>
    <row r="30" spans="1:6" ht="14.25" x14ac:dyDescent="0.2">
      <c r="A30" s="207" t="s">
        <v>196</v>
      </c>
      <c r="B30" s="207" t="s">
        <v>198</v>
      </c>
    </row>
    <row r="31" spans="1:6" ht="14.25" x14ac:dyDescent="0.2">
      <c r="A31" s="208" t="s">
        <v>199</v>
      </c>
      <c r="B31" s="209">
        <v>27</v>
      </c>
    </row>
    <row r="32" spans="1:6" ht="14.25" x14ac:dyDescent="0.2">
      <c r="A32" s="208" t="s">
        <v>200</v>
      </c>
      <c r="B32" s="209">
        <v>35.314700000000002</v>
      </c>
    </row>
  </sheetData>
  <sheetProtection sheet="1" objects="1" scenarios="1"/>
  <pageMargins left="0.7" right="0.7" top="0.75" bottom="0.75" header="0.3" footer="0.3"/>
  <pageSetup paperSize="496" orientation="portrait" r:id="rId1"/>
  <ignoredErrors>
    <ignoredError sqref="E8 E26" calculatedColumn="1"/>
  </ignoredErrors>
  <tableParts count="3"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83783-9F14-447A-B525-B5787513068A}">
  <dimension ref="A1:C29"/>
  <sheetViews>
    <sheetView workbookViewId="0">
      <selection activeCell="B12" sqref="B12"/>
    </sheetView>
  </sheetViews>
  <sheetFormatPr defaultRowHeight="12.75" x14ac:dyDescent="0.2"/>
  <cols>
    <col min="1" max="1" width="24.7109375" customWidth="1"/>
    <col min="2" max="2" width="103" customWidth="1"/>
    <col min="3" max="3" width="21.85546875" customWidth="1"/>
  </cols>
  <sheetData>
    <row r="1" spans="1:3" x14ac:dyDescent="0.2">
      <c r="A1" s="197" t="s">
        <v>191</v>
      </c>
      <c r="B1" s="197" t="s">
        <v>192</v>
      </c>
      <c r="C1" s="197" t="s">
        <v>193</v>
      </c>
    </row>
    <row r="2" spans="1:3" x14ac:dyDescent="0.2">
      <c r="A2" s="2">
        <v>1</v>
      </c>
      <c r="B2" s="200" t="s">
        <v>194</v>
      </c>
      <c r="C2" s="198">
        <v>44562</v>
      </c>
    </row>
    <row r="3" spans="1:3" x14ac:dyDescent="0.2">
      <c r="A3" s="2">
        <v>2</v>
      </c>
      <c r="B3" s="201"/>
      <c r="C3" s="198"/>
    </row>
    <row r="4" spans="1:3" x14ac:dyDescent="0.2">
      <c r="A4" s="2">
        <v>3</v>
      </c>
      <c r="B4" s="201"/>
      <c r="C4" s="198"/>
    </row>
    <row r="5" spans="1:3" x14ac:dyDescent="0.2">
      <c r="A5" s="2">
        <v>4</v>
      </c>
      <c r="B5" s="201"/>
      <c r="C5" s="198"/>
    </row>
    <row r="6" spans="1:3" x14ac:dyDescent="0.2">
      <c r="A6" s="2">
        <v>5</v>
      </c>
      <c r="B6" s="201"/>
      <c r="C6" s="198"/>
    </row>
    <row r="7" spans="1:3" x14ac:dyDescent="0.2">
      <c r="A7" s="2">
        <v>6</v>
      </c>
      <c r="B7" s="201"/>
      <c r="C7" s="198"/>
    </row>
    <row r="8" spans="1:3" x14ac:dyDescent="0.2">
      <c r="A8" s="2">
        <v>7</v>
      </c>
      <c r="B8" s="201"/>
      <c r="C8" s="198"/>
    </row>
    <row r="9" spans="1:3" x14ac:dyDescent="0.2">
      <c r="A9" s="2">
        <v>8</v>
      </c>
      <c r="B9" s="201"/>
      <c r="C9" s="198"/>
    </row>
    <row r="10" spans="1:3" x14ac:dyDescent="0.2">
      <c r="A10" s="2">
        <v>9</v>
      </c>
      <c r="B10" s="201"/>
      <c r="C10" s="198"/>
    </row>
    <row r="11" spans="1:3" x14ac:dyDescent="0.2">
      <c r="A11" s="2">
        <v>10</v>
      </c>
      <c r="B11" s="201"/>
      <c r="C11" s="198"/>
    </row>
    <row r="12" spans="1:3" x14ac:dyDescent="0.2">
      <c r="C12" s="198"/>
    </row>
    <row r="13" spans="1:3" x14ac:dyDescent="0.2">
      <c r="C13" s="198"/>
    </row>
    <row r="14" spans="1:3" x14ac:dyDescent="0.2">
      <c r="C14" s="198"/>
    </row>
    <row r="15" spans="1:3" x14ac:dyDescent="0.2">
      <c r="C15" s="198"/>
    </row>
    <row r="16" spans="1:3" x14ac:dyDescent="0.2">
      <c r="C16" s="198"/>
    </row>
    <row r="17" spans="3:3" x14ac:dyDescent="0.2">
      <c r="C17" s="198"/>
    </row>
    <row r="18" spans="3:3" x14ac:dyDescent="0.2">
      <c r="C18" s="198"/>
    </row>
    <row r="19" spans="3:3" x14ac:dyDescent="0.2">
      <c r="C19" s="198"/>
    </row>
    <row r="20" spans="3:3" x14ac:dyDescent="0.2">
      <c r="C20" s="198"/>
    </row>
    <row r="21" spans="3:3" x14ac:dyDescent="0.2">
      <c r="C21" s="198"/>
    </row>
    <row r="22" spans="3:3" x14ac:dyDescent="0.2">
      <c r="C22" s="198"/>
    </row>
    <row r="23" spans="3:3" x14ac:dyDescent="0.2">
      <c r="C23" s="198"/>
    </row>
    <row r="24" spans="3:3" x14ac:dyDescent="0.2">
      <c r="C24" s="198"/>
    </row>
    <row r="25" spans="3:3" x14ac:dyDescent="0.2">
      <c r="C25" s="198"/>
    </row>
    <row r="26" spans="3:3" x14ac:dyDescent="0.2">
      <c r="C26" s="198"/>
    </row>
    <row r="27" spans="3:3" x14ac:dyDescent="0.2">
      <c r="C27" s="198"/>
    </row>
    <row r="28" spans="3:3" x14ac:dyDescent="0.2">
      <c r="C28" s="198"/>
    </row>
    <row r="29" spans="3:3" x14ac:dyDescent="0.2">
      <c r="C29" s="198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9"/>
  <sheetViews>
    <sheetView workbookViewId="0">
      <selection activeCell="G6" sqref="G6"/>
    </sheetView>
  </sheetViews>
  <sheetFormatPr defaultRowHeight="12.75" x14ac:dyDescent="0.2"/>
  <sheetData>
    <row r="2" spans="1:4" x14ac:dyDescent="0.2">
      <c r="A2" s="145" t="s">
        <v>181</v>
      </c>
      <c r="B2">
        <v>1</v>
      </c>
      <c r="C2">
        <v>5</v>
      </c>
      <c r="D2">
        <v>1</v>
      </c>
    </row>
    <row r="3" spans="1:4" x14ac:dyDescent="0.2">
      <c r="A3" s="145" t="s">
        <v>182</v>
      </c>
      <c r="B3">
        <v>2</v>
      </c>
      <c r="C3">
        <v>10</v>
      </c>
      <c r="D3">
        <v>2</v>
      </c>
    </row>
    <row r="4" spans="1:4" x14ac:dyDescent="0.2">
      <c r="B4">
        <v>3</v>
      </c>
      <c r="C4">
        <v>15</v>
      </c>
      <c r="D4">
        <v>3</v>
      </c>
    </row>
    <row r="5" spans="1:4" x14ac:dyDescent="0.2">
      <c r="B5">
        <v>4</v>
      </c>
      <c r="C5">
        <v>20</v>
      </c>
    </row>
    <row r="6" spans="1:4" x14ac:dyDescent="0.2">
      <c r="C6">
        <v>25</v>
      </c>
    </row>
    <row r="7" spans="1:4" x14ac:dyDescent="0.2">
      <c r="C7">
        <v>30</v>
      </c>
    </row>
    <row r="8" spans="1:4" x14ac:dyDescent="0.2">
      <c r="C8">
        <v>40</v>
      </c>
    </row>
    <row r="9" spans="1:4" x14ac:dyDescent="0.2">
      <c r="C9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Sheet&amp;Rill</vt:lpstr>
      <vt:lpstr>Gully</vt:lpstr>
      <vt:lpstr>Stream&amp;Ditch</vt:lpstr>
      <vt:lpstr>Filter Strip</vt:lpstr>
      <vt:lpstr>a) Appropriate Use</vt:lpstr>
      <vt:lpstr>b) Volume Voided Calculator</vt:lpstr>
      <vt:lpstr>c) Notes</vt:lpstr>
      <vt:lpstr>Look Up</vt:lpstr>
      <vt:lpstr>channel</vt:lpstr>
      <vt:lpstr>duration</vt:lpstr>
      <vt:lpstr>Soilnumber</vt:lpstr>
      <vt:lpstr>YN</vt:lpstr>
    </vt:vector>
  </TitlesOfParts>
  <Company>bwsr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Water pollution reduction estimator</dc:title>
  <dc:creator>bwsr</dc:creator>
  <cp:lastModifiedBy>Matt Drewitz</cp:lastModifiedBy>
  <cp:lastPrinted>2002-09-30T22:36:43Z</cp:lastPrinted>
  <dcterms:created xsi:type="dcterms:W3CDTF">2002-07-25T19:36:20Z</dcterms:created>
  <dcterms:modified xsi:type="dcterms:W3CDTF">2021-10-19T19:55:20Z</dcterms:modified>
</cp:coreProperties>
</file>