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mc:AlternateContent xmlns:mc="http://schemas.openxmlformats.org/markup-compatibility/2006">
    <mc:Choice Requires="x15">
      <x15ac:absPath xmlns:x15ac="http://schemas.microsoft.com/office/spreadsheetml/2010/11/ac" url="C:\Users\b6opanm6\Desktop\"/>
    </mc:Choice>
  </mc:AlternateContent>
  <bookViews>
    <workbookView xWindow="0" yWindow="0" windowWidth="23040" windowHeight="9372" tabRatio="777"/>
  </bookViews>
  <sheets>
    <sheet name="Project Assessment" sheetId="10" r:id="rId1"/>
    <sheet name="Catchment Assessment" sheetId="11" r:id="rId2"/>
    <sheet name="Major Flow Variability Metrics" sheetId="16" r:id="rId3"/>
    <sheet name="Measurement Selection Guide" sheetId="17" r:id="rId4"/>
    <sheet name="Quantification Tool" sheetId="2" r:id="rId5"/>
    <sheet name="Monitoring Data" sheetId="13" r:id="rId6"/>
    <sheet name="Data Summary" sheetId="14" r:id="rId7"/>
    <sheet name="Reference Curves" sheetId="1" r:id="rId8"/>
    <sheet name="Pull Down Notes" sheetId="3" state="hidden" r:id="rId9"/>
  </sheets>
  <definedNames>
    <definedName name="BedMaterial">'Pull Down Notes'!$B$14:$B$20</definedName>
    <definedName name="BedType">'Pull Down Notes'!#REF!</definedName>
    <definedName name="BEHI.NBS">'Pull Down Notes'!$B$29:$B$59</definedName>
    <definedName name="CatchmentAssessment">'Pull Down Notes'!$B$88:$B$90</definedName>
    <definedName name="CatchmentAssessmentQuat">'Pull Down Notes'!#REF!</definedName>
    <definedName name="DrainageArea">'Pull Down Notes'!#REF!</definedName>
    <definedName name="Flow.Type">'Pull Down Notes'!#REF!</definedName>
    <definedName name="Level">'Pull Down Notes'!$B$61:$B$63</definedName>
    <definedName name="_xlnm.Print_Area" localSheetId="1">'Catchment Assessment'!$A$1:$H$25</definedName>
    <definedName name="_xlnm.Print_Area" localSheetId="6">'Data Summary'!$A$1:$AJ$73</definedName>
    <definedName name="_xlnm.Print_Area" localSheetId="2">'Major Flow Variability Metrics'!$A$1:$G$84</definedName>
    <definedName name="_xlnm.Print_Area" localSheetId="3">'Measurement Selection Guide'!$A$1:$D$23</definedName>
    <definedName name="_xlnm.Print_Area" localSheetId="5">'Monitoring Data'!$A$1:$I$306</definedName>
    <definedName name="_xlnm.Print_Area" localSheetId="4">'Quantification Tool'!$A$3:$J$98</definedName>
    <definedName name="_xlnm.Print_Area" localSheetId="7">'Reference Curves'!$A$1:$AT$534</definedName>
    <definedName name="_xlnm.Print_Titles" localSheetId="2">'Major Flow Variability Metrics'!$1:$3</definedName>
    <definedName name="ProgramGoals">'Pull Down Notes'!$B$82:$B$85</definedName>
    <definedName name="Region">'Pull Down Notes'!$B$65:$B$70</definedName>
    <definedName name="RiverBasins">'Pull Down Notes'!#REF!</definedName>
    <definedName name="StreamType">'Pull Down Notes'!$B$1:$B$12</definedName>
    <definedName name="WaterTypes">'Pull Down Notes'!#REF!</definedName>
    <definedName name="Yes.No">'Pull Down Notes'!$B$78:$B$79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2" i="13" l="1"/>
  <c r="F274" i="13"/>
  <c r="F246" i="13"/>
  <c r="F218" i="13"/>
  <c r="F190" i="13"/>
  <c r="F162" i="13"/>
  <c r="F134" i="13"/>
  <c r="F106" i="13"/>
  <c r="F78" i="13"/>
  <c r="F51" i="13"/>
  <c r="F23" i="13"/>
  <c r="F65" i="2"/>
  <c r="F93" i="2"/>
  <c r="F300" i="13" l="1"/>
  <c r="F272" i="13"/>
  <c r="F244" i="13"/>
  <c r="F216" i="13"/>
  <c r="F188" i="13"/>
  <c r="F160" i="13"/>
  <c r="F132" i="13"/>
  <c r="F104" i="13"/>
  <c r="F76" i="13"/>
  <c r="F49" i="13"/>
  <c r="F21" i="13"/>
  <c r="F91" i="2"/>
  <c r="F63" i="2"/>
  <c r="F295" i="13" l="1"/>
  <c r="F267" i="13"/>
  <c r="F239" i="13"/>
  <c r="F211" i="13"/>
  <c r="F183" i="13"/>
  <c r="F155" i="13"/>
  <c r="F127" i="13"/>
  <c r="F99" i="13"/>
  <c r="F71" i="13"/>
  <c r="F44" i="13"/>
  <c r="F53" i="2"/>
  <c r="F293" i="13"/>
  <c r="F265" i="13"/>
  <c r="F237" i="13"/>
  <c r="F209" i="13"/>
  <c r="F181" i="13"/>
  <c r="F153" i="13"/>
  <c r="F125" i="13"/>
  <c r="F97" i="13"/>
  <c r="F57" i="2"/>
  <c r="F176" i="13" l="1"/>
  <c r="F175" i="13"/>
  <c r="G175" i="13" s="1"/>
  <c r="F148" i="13"/>
  <c r="F147" i="13"/>
  <c r="G147" i="13" s="1"/>
  <c r="F120" i="13"/>
  <c r="F119" i="13"/>
  <c r="G119" i="13" s="1"/>
  <c r="F64" i="13"/>
  <c r="F63" i="13"/>
  <c r="F37" i="13"/>
  <c r="F36" i="13"/>
  <c r="F96" i="2" l="1"/>
  <c r="F95" i="2"/>
  <c r="G95" i="2" s="1"/>
  <c r="F305" i="13" l="1"/>
  <c r="F304" i="13"/>
  <c r="F277" i="13"/>
  <c r="F276" i="13"/>
  <c r="F249" i="13"/>
  <c r="F248" i="13"/>
  <c r="F221" i="13"/>
  <c r="F220" i="13"/>
  <c r="F193" i="13"/>
  <c r="F192" i="13"/>
  <c r="F165" i="13"/>
  <c r="F164" i="13"/>
  <c r="F137" i="13"/>
  <c r="F136" i="13"/>
  <c r="F109" i="13"/>
  <c r="F108" i="13"/>
  <c r="F81" i="13"/>
  <c r="F80" i="13"/>
  <c r="F54" i="13"/>
  <c r="F53" i="13"/>
  <c r="F26" i="13"/>
  <c r="F25" i="13"/>
  <c r="F68" i="2"/>
  <c r="F67" i="2"/>
  <c r="F46" i="2" l="1"/>
  <c r="F294" i="13"/>
  <c r="F266" i="13"/>
  <c r="F238" i="13"/>
  <c r="F210" i="13"/>
  <c r="F182" i="13"/>
  <c r="F154" i="13"/>
  <c r="F126" i="13"/>
  <c r="F98" i="13"/>
  <c r="F70" i="13"/>
  <c r="F43" i="13"/>
  <c r="F15" i="13"/>
  <c r="F85" i="2"/>
  <c r="F54" i="2" l="1"/>
  <c r="F52" i="2"/>
  <c r="F289" i="13" l="1"/>
  <c r="F261" i="13"/>
  <c r="F233" i="13"/>
  <c r="F205" i="13"/>
  <c r="F93" i="13"/>
  <c r="F65" i="13"/>
  <c r="F38" i="13"/>
  <c r="F10" i="13"/>
  <c r="F80" i="2"/>
  <c r="F66" i="2" l="1"/>
  <c r="F303" i="13"/>
  <c r="G303" i="13" s="1"/>
  <c r="G302" i="13"/>
  <c r="F301" i="13"/>
  <c r="G301" i="13" s="1"/>
  <c r="F275" i="13"/>
  <c r="G275" i="13" s="1"/>
  <c r="G274" i="13"/>
  <c r="F273" i="13"/>
  <c r="G273" i="13" s="1"/>
  <c r="F247" i="13"/>
  <c r="G247" i="13" s="1"/>
  <c r="G246" i="13"/>
  <c r="F245" i="13"/>
  <c r="G245" i="13" s="1"/>
  <c r="F219" i="13"/>
  <c r="G219" i="13" s="1"/>
  <c r="G218" i="13"/>
  <c r="F217" i="13"/>
  <c r="G217" i="13" s="1"/>
  <c r="F191" i="13"/>
  <c r="G191" i="13" s="1"/>
  <c r="G190" i="13"/>
  <c r="F189" i="13"/>
  <c r="G189" i="13" s="1"/>
  <c r="F163" i="13"/>
  <c r="G163" i="13" s="1"/>
  <c r="G162" i="13"/>
  <c r="F161" i="13"/>
  <c r="G161" i="13" s="1"/>
  <c r="F135" i="13"/>
  <c r="G135" i="13" s="1"/>
  <c r="G134" i="13"/>
  <c r="F133" i="13"/>
  <c r="G133" i="13" s="1"/>
  <c r="F107" i="13"/>
  <c r="G107" i="13" s="1"/>
  <c r="G106" i="13"/>
  <c r="F105" i="13"/>
  <c r="G105" i="13" s="1"/>
  <c r="F79" i="13"/>
  <c r="G79" i="13" s="1"/>
  <c r="G78" i="13"/>
  <c r="F77" i="13"/>
  <c r="G77" i="13" s="1"/>
  <c r="F52" i="13"/>
  <c r="G52" i="13" s="1"/>
  <c r="G51" i="13"/>
  <c r="F50" i="13"/>
  <c r="G50" i="13" s="1"/>
  <c r="G23" i="13"/>
  <c r="G93" i="2"/>
  <c r="G65" i="2"/>
  <c r="F296" i="13"/>
  <c r="F268" i="13"/>
  <c r="F263" i="13"/>
  <c r="F240" i="13"/>
  <c r="F212" i="13"/>
  <c r="F184" i="13"/>
  <c r="F156" i="13"/>
  <c r="F128" i="13"/>
  <c r="F100" i="13"/>
  <c r="F72" i="13"/>
  <c r="F45" i="13"/>
  <c r="F17" i="13"/>
  <c r="G66" i="2" l="1"/>
  <c r="F94" i="2" l="1"/>
  <c r="F92" i="2"/>
  <c r="G92" i="2" s="1"/>
  <c r="F90" i="2"/>
  <c r="F89" i="2"/>
  <c r="F88" i="2"/>
  <c r="F87" i="2"/>
  <c r="F83" i="2"/>
  <c r="F82" i="2"/>
  <c r="F81" i="2"/>
  <c r="F79" i="2"/>
  <c r="F76" i="2"/>
  <c r="F75" i="2"/>
  <c r="F74" i="2"/>
  <c r="F73" i="2"/>
  <c r="G305" i="13"/>
  <c r="G304" i="13"/>
  <c r="O13" i="14"/>
  <c r="F299" i="13"/>
  <c r="F298" i="13"/>
  <c r="F297" i="13"/>
  <c r="F292" i="13"/>
  <c r="F291" i="13"/>
  <c r="F290" i="13"/>
  <c r="F288" i="13"/>
  <c r="F287" i="13"/>
  <c r="F285" i="13"/>
  <c r="F284" i="13"/>
  <c r="F283" i="13"/>
  <c r="F282" i="13"/>
  <c r="G277" i="13"/>
  <c r="G276" i="13"/>
  <c r="N13" i="14"/>
  <c r="F271" i="13"/>
  <c r="F270" i="13"/>
  <c r="F269" i="13"/>
  <c r="F264" i="13"/>
  <c r="F262" i="13"/>
  <c r="F260" i="13"/>
  <c r="F257" i="13"/>
  <c r="F256" i="13"/>
  <c r="F255" i="13"/>
  <c r="F254" i="13"/>
  <c r="G249" i="13"/>
  <c r="G248" i="13"/>
  <c r="M13" i="14"/>
  <c r="F243" i="13"/>
  <c r="F242" i="13"/>
  <c r="F241" i="13"/>
  <c r="F236" i="13"/>
  <c r="F235" i="13"/>
  <c r="F234" i="13"/>
  <c r="F232" i="13"/>
  <c r="F231" i="13"/>
  <c r="F229" i="13"/>
  <c r="F228" i="13"/>
  <c r="F227" i="13"/>
  <c r="F226" i="13"/>
  <c r="G221" i="13"/>
  <c r="G220" i="13"/>
  <c r="L13" i="14"/>
  <c r="F215" i="13"/>
  <c r="F214" i="13"/>
  <c r="F213" i="13"/>
  <c r="F208" i="13"/>
  <c r="F207" i="13"/>
  <c r="F206" i="13"/>
  <c r="F204" i="13"/>
  <c r="F201" i="13"/>
  <c r="F200" i="13"/>
  <c r="F199" i="13"/>
  <c r="F198" i="13"/>
  <c r="G193" i="13"/>
  <c r="G192" i="13"/>
  <c r="K13" i="14"/>
  <c r="F187" i="13"/>
  <c r="F186" i="13"/>
  <c r="F185" i="13"/>
  <c r="F180" i="13"/>
  <c r="F179" i="13"/>
  <c r="F178" i="13"/>
  <c r="F177" i="13"/>
  <c r="F173" i="13"/>
  <c r="F172" i="13"/>
  <c r="F171" i="13"/>
  <c r="F170" i="13"/>
  <c r="G165" i="13"/>
  <c r="G164" i="13"/>
  <c r="J13" i="14"/>
  <c r="F159" i="13"/>
  <c r="F158" i="13"/>
  <c r="F157" i="13"/>
  <c r="F152" i="13"/>
  <c r="F151" i="13"/>
  <c r="F150" i="13"/>
  <c r="F149" i="13"/>
  <c r="F145" i="13"/>
  <c r="F144" i="13"/>
  <c r="F143" i="13"/>
  <c r="F142" i="13"/>
  <c r="G137" i="13"/>
  <c r="G136" i="13"/>
  <c r="I13" i="14"/>
  <c r="F131" i="13"/>
  <c r="F130" i="13"/>
  <c r="F129" i="13"/>
  <c r="F124" i="13"/>
  <c r="F123" i="13"/>
  <c r="F122" i="13"/>
  <c r="F121" i="13"/>
  <c r="F117" i="13"/>
  <c r="F116" i="13"/>
  <c r="F115" i="13"/>
  <c r="F114" i="13"/>
  <c r="G109" i="13"/>
  <c r="G108" i="13"/>
  <c r="H13" i="14"/>
  <c r="F103" i="13"/>
  <c r="F102" i="13"/>
  <c r="F101" i="13"/>
  <c r="F96" i="13"/>
  <c r="F95" i="13"/>
  <c r="F94" i="13"/>
  <c r="F92" i="13"/>
  <c r="F91" i="13"/>
  <c r="F89" i="13"/>
  <c r="F88" i="13"/>
  <c r="F87" i="13"/>
  <c r="F86" i="13"/>
  <c r="G81" i="13"/>
  <c r="G80" i="13"/>
  <c r="G13" i="14"/>
  <c r="F75" i="13"/>
  <c r="F74" i="13"/>
  <c r="F73" i="13"/>
  <c r="F68" i="13"/>
  <c r="F67" i="13"/>
  <c r="F66" i="13"/>
  <c r="F61" i="13"/>
  <c r="F60" i="13"/>
  <c r="F59" i="13"/>
  <c r="F58" i="13"/>
  <c r="G54" i="13"/>
  <c r="G53" i="13"/>
  <c r="F13" i="14"/>
  <c r="F48" i="13"/>
  <c r="F47" i="13"/>
  <c r="F46" i="13"/>
  <c r="F41" i="13"/>
  <c r="F40" i="13"/>
  <c r="F39" i="13"/>
  <c r="F34" i="13"/>
  <c r="F33" i="13"/>
  <c r="F32" i="13"/>
  <c r="F31" i="13"/>
  <c r="G26" i="13"/>
  <c r="G25" i="13"/>
  <c r="F24" i="13"/>
  <c r="G24" i="13" s="1"/>
  <c r="E13" i="14"/>
  <c r="F22" i="13"/>
  <c r="G22" i="13" s="1"/>
  <c r="F19" i="13"/>
  <c r="F18" i="13"/>
  <c r="F61" i="2"/>
  <c r="F60" i="2"/>
  <c r="F20" i="13"/>
  <c r="G289" i="13" l="1"/>
  <c r="O8" i="14" s="1"/>
  <c r="G177" i="13"/>
  <c r="K8" i="14" s="1"/>
  <c r="G233" i="13"/>
  <c r="M8" i="14" s="1"/>
  <c r="H192" i="13"/>
  <c r="I192" i="13" s="1"/>
  <c r="H304" i="13"/>
  <c r="I304" i="13" s="1"/>
  <c r="G261" i="13"/>
  <c r="N8" i="14" s="1"/>
  <c r="G65" i="13"/>
  <c r="G8" i="14" s="1"/>
  <c r="G93" i="13"/>
  <c r="H8" i="14" s="1"/>
  <c r="G121" i="13"/>
  <c r="I8" i="14" s="1"/>
  <c r="G149" i="13"/>
  <c r="J8" i="14" s="1"/>
  <c r="G205" i="13"/>
  <c r="L8" i="14" s="1"/>
  <c r="G38" i="13"/>
  <c r="F8" i="14" s="1"/>
  <c r="H80" i="13"/>
  <c r="I80" i="13" s="1"/>
  <c r="H273" i="13"/>
  <c r="H77" i="13"/>
  <c r="H189" i="13"/>
  <c r="H301" i="13"/>
  <c r="H108" i="13"/>
  <c r="I108" i="13" s="1"/>
  <c r="H220" i="13"/>
  <c r="I220" i="13" s="1"/>
  <c r="H136" i="13"/>
  <c r="H248" i="13"/>
  <c r="I248" i="13" s="1"/>
  <c r="H276" i="13"/>
  <c r="I276" i="13" s="1"/>
  <c r="H53" i="13"/>
  <c r="I53" i="13" s="1"/>
  <c r="H164" i="13"/>
  <c r="I164" i="13" s="1"/>
  <c r="H217" i="13"/>
  <c r="H25" i="13"/>
  <c r="H133" i="13"/>
  <c r="H245" i="13"/>
  <c r="H161" i="13"/>
  <c r="H105" i="13"/>
  <c r="F6" i="13"/>
  <c r="F5" i="13"/>
  <c r="F4" i="13"/>
  <c r="F3" i="13"/>
  <c r="G114" i="13" l="1"/>
  <c r="G254" i="13"/>
  <c r="G3" i="13"/>
  <c r="G170" i="13"/>
  <c r="G58" i="13"/>
  <c r="G282" i="13"/>
  <c r="G86" i="13"/>
  <c r="G198" i="13"/>
  <c r="G142" i="13"/>
  <c r="G31" i="13"/>
  <c r="G226" i="13"/>
  <c r="F62" i="2"/>
  <c r="T443" i="1" l="1"/>
  <c r="S443" i="1"/>
  <c r="AD84" i="1" l="1"/>
  <c r="AC84" i="1"/>
  <c r="AB84" i="1"/>
  <c r="AA84" i="1"/>
  <c r="D13" i="14" l="1"/>
  <c r="D37" i="2"/>
  <c r="C13" i="14"/>
  <c r="C37" i="2"/>
  <c r="AC48" i="1"/>
  <c r="AB48" i="1"/>
  <c r="AA48" i="1"/>
  <c r="F64" i="2" l="1"/>
  <c r="G64" i="2" s="1"/>
  <c r="AM18" i="1" l="1"/>
  <c r="F47" i="2" l="1"/>
  <c r="G96" i="2" l="1"/>
  <c r="H95" i="2" s="1"/>
  <c r="G68" i="2"/>
  <c r="G67" i="2"/>
  <c r="I37" i="2" l="1"/>
  <c r="D26" i="14" s="1"/>
  <c r="F12" i="13" l="1"/>
  <c r="H31" i="13" l="1"/>
  <c r="I31" i="13" s="1"/>
  <c r="B9" i="2" l="1"/>
  <c r="B7" i="2"/>
  <c r="G292" i="13"/>
  <c r="G264" i="13"/>
  <c r="G236" i="13"/>
  <c r="G208" i="13"/>
  <c r="G180" i="13"/>
  <c r="G152" i="13"/>
  <c r="G124" i="13"/>
  <c r="G96" i="13"/>
  <c r="G68" i="13"/>
  <c r="G41" i="13"/>
  <c r="F11" i="13"/>
  <c r="G10" i="13" s="1"/>
  <c r="E8" i="14" s="1"/>
  <c r="F9" i="13"/>
  <c r="F8" i="13"/>
  <c r="F14" i="13" l="1"/>
  <c r="F84" i="2"/>
  <c r="F49" i="2"/>
  <c r="F16" i="13"/>
  <c r="F86" i="2"/>
  <c r="F58" i="2"/>
  <c r="F69" i="13"/>
  <c r="F42" i="13"/>
  <c r="F56" i="2"/>
  <c r="F146" i="13"/>
  <c r="G145" i="13" s="1"/>
  <c r="H145" i="13" s="1"/>
  <c r="F62" i="13"/>
  <c r="G61" i="13" s="1"/>
  <c r="H61" i="13" s="1"/>
  <c r="F174" i="13"/>
  <c r="G173" i="13" s="1"/>
  <c r="H173" i="13" s="1"/>
  <c r="F230" i="13"/>
  <c r="G229" i="13" s="1"/>
  <c r="H229" i="13" s="1"/>
  <c r="F77" i="2"/>
  <c r="F118" i="13"/>
  <c r="G117" i="13" s="1"/>
  <c r="H117" i="13" s="1"/>
  <c r="F90" i="13"/>
  <c r="G89" i="13" s="1"/>
  <c r="H89" i="13" s="1"/>
  <c r="F35" i="13"/>
  <c r="G34" i="13" s="1"/>
  <c r="H34" i="13" s="1"/>
  <c r="F202" i="13"/>
  <c r="G201" i="13" s="1"/>
  <c r="H201" i="13" s="1"/>
  <c r="F258" i="13"/>
  <c r="G257" i="13" s="1"/>
  <c r="H257" i="13" s="1"/>
  <c r="F286" i="13"/>
  <c r="G285" i="13" s="1"/>
  <c r="H285" i="13" s="1"/>
  <c r="H58" i="13"/>
  <c r="I58" i="13" s="1"/>
  <c r="G91" i="13"/>
  <c r="G63" i="13"/>
  <c r="H198" i="13"/>
  <c r="I198" i="13" s="1"/>
  <c r="H282" i="13"/>
  <c r="I282" i="13" s="1"/>
  <c r="H114" i="13"/>
  <c r="I114" i="13" s="1"/>
  <c r="H254" i="13"/>
  <c r="I254" i="13" s="1"/>
  <c r="G287" i="13"/>
  <c r="H142" i="13"/>
  <c r="I142" i="13" s="1"/>
  <c r="H86" i="13"/>
  <c r="I86" i="13" s="1"/>
  <c r="G297" i="13"/>
  <c r="G73" i="13"/>
  <c r="G18" i="13"/>
  <c r="G129" i="13"/>
  <c r="I273" i="13"/>
  <c r="G101" i="13"/>
  <c r="H50" i="13"/>
  <c r="I50" i="13" s="1"/>
  <c r="I245" i="13"/>
  <c r="G269" i="13"/>
  <c r="I301" i="13"/>
  <c r="G241" i="13"/>
  <c r="G231" i="13"/>
  <c r="H226" i="13"/>
  <c r="I226" i="13" s="1"/>
  <c r="I217" i="13"/>
  <c r="G213" i="13"/>
  <c r="G185" i="13"/>
  <c r="H170" i="13"/>
  <c r="I170" i="13" s="1"/>
  <c r="I189" i="13"/>
  <c r="G157" i="13"/>
  <c r="I161" i="13"/>
  <c r="I133" i="13"/>
  <c r="I105" i="13"/>
  <c r="I77" i="13"/>
  <c r="G46" i="13"/>
  <c r="G36" i="13"/>
  <c r="G8" i="13"/>
  <c r="G83" i="2"/>
  <c r="G80" i="2"/>
  <c r="S14" i="1"/>
  <c r="F45" i="2"/>
  <c r="G45" i="2" s="1"/>
  <c r="G125" i="13" l="1"/>
  <c r="H119" i="13" s="1"/>
  <c r="I119" i="13" s="1"/>
  <c r="G237" i="13"/>
  <c r="H231" i="13" s="1"/>
  <c r="I231" i="13" s="1"/>
  <c r="G14" i="13"/>
  <c r="G293" i="13"/>
  <c r="H287" i="13" s="1"/>
  <c r="I287" i="13" s="1"/>
  <c r="G42" i="13"/>
  <c r="H36" i="13" s="1"/>
  <c r="I36" i="13" s="1"/>
  <c r="G97" i="13"/>
  <c r="H91" i="13" s="1"/>
  <c r="I91" i="13" s="1"/>
  <c r="G181" i="13"/>
  <c r="H175" i="13" s="1"/>
  <c r="I175" i="13" s="1"/>
  <c r="G209" i="13"/>
  <c r="G265" i="13"/>
  <c r="G153" i="13"/>
  <c r="G69" i="13"/>
  <c r="H63" i="13" s="1"/>
  <c r="I63" i="13" s="1"/>
  <c r="F78" i="2"/>
  <c r="G78" i="2" s="1"/>
  <c r="F259" i="13"/>
  <c r="G259" i="13" s="1"/>
  <c r="F203" i="13"/>
  <c r="G203" i="13" s="1"/>
  <c r="I61" i="13"/>
  <c r="G23" i="14"/>
  <c r="I229" i="13"/>
  <c r="M23" i="14"/>
  <c r="I173" i="13"/>
  <c r="K23" i="14"/>
  <c r="I285" i="13"/>
  <c r="O23" i="14"/>
  <c r="I117" i="13"/>
  <c r="I23" i="14"/>
  <c r="I257" i="13"/>
  <c r="N23" i="14"/>
  <c r="I201" i="13"/>
  <c r="L23" i="14"/>
  <c r="I145" i="13"/>
  <c r="J23" i="14"/>
  <c r="I89" i="13"/>
  <c r="H23" i="14"/>
  <c r="I34" i="13"/>
  <c r="F23" i="14"/>
  <c r="D32" i="2"/>
  <c r="D8" i="14"/>
  <c r="I136" i="13"/>
  <c r="G88" i="2"/>
  <c r="G84" i="2"/>
  <c r="H259" i="13" l="1"/>
  <c r="I259" i="13" s="1"/>
  <c r="H203" i="13"/>
  <c r="I203" i="13" s="1"/>
  <c r="H147" i="13"/>
  <c r="I147" i="13" s="1"/>
  <c r="H78" i="2"/>
  <c r="I78" i="2" s="1"/>
  <c r="G60" i="2"/>
  <c r="G52" i="2" l="1"/>
  <c r="F48" i="2"/>
  <c r="C32" i="2" l="1"/>
  <c r="C8" i="14"/>
  <c r="F50" i="2"/>
  <c r="F51" i="2"/>
  <c r="G50" i="2" l="1"/>
  <c r="F13" i="13" l="1"/>
  <c r="G13" i="13" s="1"/>
  <c r="F55" i="2"/>
  <c r="O14" i="14" l="1"/>
  <c r="O12" i="14"/>
  <c r="O9" i="14"/>
  <c r="N14" i="14"/>
  <c r="N9" i="14"/>
  <c r="M14" i="14"/>
  <c r="M12" i="14"/>
  <c r="M9" i="14"/>
  <c r="L14" i="14"/>
  <c r="L9" i="14"/>
  <c r="K14" i="14"/>
  <c r="K12" i="14"/>
  <c r="K9" i="14"/>
  <c r="J14" i="14"/>
  <c r="J12" i="14"/>
  <c r="J9" i="14"/>
  <c r="I14" i="14"/>
  <c r="I12" i="14"/>
  <c r="I9" i="14"/>
  <c r="H14" i="14"/>
  <c r="H12" i="14"/>
  <c r="H9" i="14"/>
  <c r="G14" i="14"/>
  <c r="G12" i="14"/>
  <c r="G9" i="14"/>
  <c r="F14" i="14"/>
  <c r="F12" i="14"/>
  <c r="F9" i="14"/>
  <c r="E9" i="14"/>
  <c r="F7" i="13"/>
  <c r="G6" i="13" s="1"/>
  <c r="H6" i="13" s="1"/>
  <c r="E14" i="14"/>
  <c r="I6" i="13" l="1"/>
  <c r="E23" i="14"/>
  <c r="E12" i="14"/>
  <c r="H22" i="13"/>
  <c r="O5" i="14"/>
  <c r="O11" i="14"/>
  <c r="O16" i="14"/>
  <c r="O10" i="14"/>
  <c r="M5" i="14"/>
  <c r="O6" i="14"/>
  <c r="N12" i="14"/>
  <c r="O7" i="14"/>
  <c r="O15" i="14"/>
  <c r="L12" i="14"/>
  <c r="L16" i="14"/>
  <c r="M7" i="14"/>
  <c r="N7" i="14"/>
  <c r="N15" i="14"/>
  <c r="N5" i="14"/>
  <c r="N11" i="14"/>
  <c r="M10" i="14"/>
  <c r="L11" i="14"/>
  <c r="M15" i="14"/>
  <c r="K10" i="14"/>
  <c r="M11" i="14"/>
  <c r="M16" i="14"/>
  <c r="K16" i="14"/>
  <c r="L7" i="14"/>
  <c r="L10" i="14"/>
  <c r="J10" i="14"/>
  <c r="J15" i="14"/>
  <c r="L5" i="14"/>
  <c r="F5" i="14"/>
  <c r="J11" i="14"/>
  <c r="K15" i="14"/>
  <c r="L6" i="14"/>
  <c r="J16" i="14"/>
  <c r="K7" i="14"/>
  <c r="I15" i="14"/>
  <c r="J6" i="14"/>
  <c r="K5" i="14"/>
  <c r="J7" i="14"/>
  <c r="K11" i="14"/>
  <c r="K6" i="14"/>
  <c r="G7" i="14"/>
  <c r="J5" i="14"/>
  <c r="F7" i="14"/>
  <c r="G10" i="14"/>
  <c r="H5" i="14"/>
  <c r="H16" i="14"/>
  <c r="I7" i="14"/>
  <c r="I10" i="14"/>
  <c r="I5" i="14"/>
  <c r="H10" i="14"/>
  <c r="I11" i="14"/>
  <c r="I16" i="14"/>
  <c r="I6" i="14"/>
  <c r="G5" i="14"/>
  <c r="H7" i="14"/>
  <c r="G16" i="14"/>
  <c r="F11" i="14"/>
  <c r="H11" i="14"/>
  <c r="H3" i="13"/>
  <c r="I3" i="13" s="1"/>
  <c r="H6" i="14"/>
  <c r="F15" i="14"/>
  <c r="G11" i="14"/>
  <c r="G6" i="14"/>
  <c r="F16" i="14"/>
  <c r="F6" i="14"/>
  <c r="F10" i="14"/>
  <c r="E15" i="14"/>
  <c r="E11" i="14"/>
  <c r="E10" i="14"/>
  <c r="E16" i="14"/>
  <c r="D12" i="14"/>
  <c r="H8" i="13" l="1"/>
  <c r="I8" i="13" s="1"/>
  <c r="F25" i="14"/>
  <c r="N16" i="14"/>
  <c r="I25" i="14"/>
  <c r="M25" i="14"/>
  <c r="N6" i="14"/>
  <c r="H15" i="14"/>
  <c r="O25" i="14"/>
  <c r="K25" i="14"/>
  <c r="G15" i="14"/>
  <c r="J25" i="14"/>
  <c r="H25" i="14"/>
  <c r="M6" i="14"/>
  <c r="L25" i="14"/>
  <c r="I22" i="13"/>
  <c r="E25" i="14"/>
  <c r="L15" i="14"/>
  <c r="G25" i="14"/>
  <c r="N10" i="14"/>
  <c r="N25" i="14"/>
  <c r="D36" i="2"/>
  <c r="O22" i="14" l="1"/>
  <c r="I24" i="14"/>
  <c r="H22" i="14"/>
  <c r="J26" i="14"/>
  <c r="J24" i="14"/>
  <c r="K24" i="14"/>
  <c r="M26" i="14"/>
  <c r="H24" i="14"/>
  <c r="H27" i="14" s="1"/>
  <c r="N24" i="14"/>
  <c r="K26" i="14"/>
  <c r="H26" i="14"/>
  <c r="G24" i="14"/>
  <c r="I22" i="14"/>
  <c r="F26" i="14"/>
  <c r="O24" i="14"/>
  <c r="G26" i="14"/>
  <c r="F24" i="14"/>
  <c r="L24" i="14"/>
  <c r="M24" i="14"/>
  <c r="O26" i="14"/>
  <c r="I26" i="14"/>
  <c r="L26" i="14"/>
  <c r="N26" i="14"/>
  <c r="I25" i="13"/>
  <c r="E26" i="14"/>
  <c r="O27" i="14" l="1"/>
  <c r="I27" i="14"/>
  <c r="T409" i="1"/>
  <c r="O4" i="14" l="1"/>
  <c r="O21" i="14" s="1"/>
  <c r="A32" i="14" s="1"/>
  <c r="N4" i="14"/>
  <c r="N21" i="14" s="1"/>
  <c r="M4" i="14"/>
  <c r="M21" i="14" s="1"/>
  <c r="L4" i="14"/>
  <c r="L21" i="14" s="1"/>
  <c r="K4" i="14"/>
  <c r="K21" i="14" s="1"/>
  <c r="J4" i="14"/>
  <c r="J21" i="14" s="1"/>
  <c r="I4" i="14"/>
  <c r="I21" i="14" s="1"/>
  <c r="H4" i="14"/>
  <c r="H21" i="14" s="1"/>
  <c r="G4" i="14"/>
  <c r="G21" i="14" s="1"/>
  <c r="F4" i="14"/>
  <c r="F21" i="14" s="1"/>
  <c r="G94" i="2"/>
  <c r="D38" i="2" s="1"/>
  <c r="G73" i="2"/>
  <c r="F59" i="2"/>
  <c r="G55" i="2"/>
  <c r="C9" i="14" s="1"/>
  <c r="F13" i="2"/>
  <c r="F12" i="2"/>
  <c r="C14" i="14" l="1"/>
  <c r="C38" i="2"/>
  <c r="H92" i="2"/>
  <c r="I35" i="2" s="1"/>
  <c r="D25" i="14" s="1"/>
  <c r="D14" i="14"/>
  <c r="H64" i="2"/>
  <c r="H35" i="2" s="1"/>
  <c r="F14" i="2"/>
  <c r="C33" i="2"/>
  <c r="D40" i="2"/>
  <c r="C16" i="14"/>
  <c r="H45" i="2"/>
  <c r="D5" i="14"/>
  <c r="G56" i="2"/>
  <c r="C10" i="14" s="1"/>
  <c r="D39" i="2"/>
  <c r="D34" i="2"/>
  <c r="E6" i="14"/>
  <c r="D9" i="14"/>
  <c r="D33" i="2"/>
  <c r="G48" i="2"/>
  <c r="H48" i="2" s="1"/>
  <c r="G76" i="2"/>
  <c r="D35" i="2"/>
  <c r="E7" i="14"/>
  <c r="I92" i="2" l="1"/>
  <c r="J35" i="2"/>
  <c r="H29" i="2"/>
  <c r="I45" i="2"/>
  <c r="H31" i="2"/>
  <c r="C23" i="14" s="1"/>
  <c r="I48" i="2"/>
  <c r="H73" i="2"/>
  <c r="I73" i="2" s="1"/>
  <c r="D6" i="14"/>
  <c r="H76" i="2"/>
  <c r="H50" i="2"/>
  <c r="I50" i="2" s="1"/>
  <c r="C39" i="2"/>
  <c r="H67" i="2"/>
  <c r="E5" i="14"/>
  <c r="D7" i="14"/>
  <c r="I33" i="2"/>
  <c r="C31" i="2"/>
  <c r="C5" i="14"/>
  <c r="C30" i="2"/>
  <c r="G22" i="14"/>
  <c r="G27" i="14" s="1"/>
  <c r="D31" i="2"/>
  <c r="C7" i="14"/>
  <c r="D29" i="2"/>
  <c r="C12" i="14"/>
  <c r="C36" i="2"/>
  <c r="D11" i="14"/>
  <c r="J22" i="14"/>
  <c r="J27" i="14" s="1"/>
  <c r="D30" i="2"/>
  <c r="D10" i="14"/>
  <c r="E22" i="14"/>
  <c r="C6" i="14"/>
  <c r="D16" i="14"/>
  <c r="C40" i="2"/>
  <c r="D15" i="14"/>
  <c r="C34" i="2"/>
  <c r="C29" i="2"/>
  <c r="C15" i="14"/>
  <c r="I64" i="2"/>
  <c r="M22" i="14"/>
  <c r="M27" i="14" s="1"/>
  <c r="C35" i="2"/>
  <c r="C11" i="14"/>
  <c r="D21" i="2" l="1"/>
  <c r="H37" i="2"/>
  <c r="C26" i="14" s="1"/>
  <c r="I31" i="2"/>
  <c r="D23" i="14" s="1"/>
  <c r="I76" i="2"/>
  <c r="D24" i="14"/>
  <c r="C22" i="14"/>
  <c r="C25" i="14"/>
  <c r="N22" i="14"/>
  <c r="N27" i="14" s="1"/>
  <c r="L22" i="14"/>
  <c r="L27" i="14" s="1"/>
  <c r="K22" i="14"/>
  <c r="K27" i="14" s="1"/>
  <c r="F22" i="14"/>
  <c r="F27" i="14" s="1"/>
  <c r="I95" i="2"/>
  <c r="I67" i="2"/>
  <c r="E24" i="14"/>
  <c r="E27" i="14" s="1"/>
  <c r="I29" i="2"/>
  <c r="H33" i="2"/>
  <c r="D22" i="14" l="1"/>
  <c r="F10" i="2"/>
  <c r="J37" i="2"/>
  <c r="F9" i="2"/>
  <c r="F15" i="2" s="1"/>
  <c r="J31" i="2"/>
  <c r="C24" i="14"/>
  <c r="C27" i="14" s="1"/>
  <c r="C28" i="14" s="1"/>
  <c r="G28" i="14"/>
  <c r="O28" i="14"/>
  <c r="M28" i="14"/>
  <c r="K28" i="14"/>
  <c r="N28" i="14"/>
  <c r="L28" i="14"/>
  <c r="F28" i="14"/>
  <c r="J28" i="14"/>
  <c r="I28" i="14"/>
  <c r="H28" i="14"/>
  <c r="E28" i="14"/>
  <c r="J29" i="2"/>
  <c r="J33" i="2"/>
  <c r="D27" i="14" l="1"/>
  <c r="D28" i="14" s="1"/>
  <c r="F16" i="2"/>
  <c r="F19" i="2" s="1"/>
  <c r="F11" i="2"/>
  <c r="F17" i="2" l="1"/>
  <c r="H9" i="2" s="1"/>
  <c r="J9" i="2" l="1"/>
  <c r="F18" i="2"/>
</calcChain>
</file>

<file path=xl/comments1.xml><?xml version="1.0" encoding="utf-8"?>
<comments xmlns="http://schemas.openxmlformats.org/spreadsheetml/2006/main">
  <authors>
    <author>Ian Chisholm</author>
    <author>LeeAnne Lutz</author>
  </authors>
  <commentList>
    <comment ref="I10" authorId="0" shapeId="0">
      <text>
        <r>
          <rPr>
            <sz val="9"/>
            <color indexed="81"/>
            <rFont val="Tahoma"/>
            <family val="2"/>
          </rPr>
          <t xml:space="preserve">This index calculates the use of water in a given catchment and its upstream catchments as a percent of the surface water runoff. Water use is measured as the total annual volume of water (surface and groundwater) reported as used in the DNR’s permits database for each catchment and its upstream catchments. The amount used is then adjusted for consumptive use based on documented consumptive use coefficients. Surface water runoff is measured as the mean annual discharge for a catchment and its upstream catchments. Mean annual discharge is estimated using observed annual precipitation and predicted annual runoff coefficients. Data from 54 stream gages was used for the period of record from 1988-2007. Additional analysis detail is found in the supporting report, "An Index of Water Use Intensity for Minnesota" .
</t>
        </r>
      </text>
    </comment>
    <comment ref="I11" authorId="0" shapeId="0">
      <text>
        <r>
          <rPr>
            <sz val="9"/>
            <color indexed="81"/>
            <rFont val="Tahoma"/>
            <family val="2"/>
          </rPr>
          <t>The health score is based on the inverse of the percent imperviousness, applying a 4% threshold to represent a score of 0. Values of 0-4% imperviousness were scaled from 100 (highest score, 0% impervious surface) to 0 (lowest score, 4% or more impervious surface).
A threshold of 4% imperviousness was used because this is generally the level below which stream chemistry, biota, geomorphology, and other stream characteristics are indistinguishable from undisturbed streams (Paul and Meyer, 2001; Morse et al., 2003).</t>
        </r>
      </text>
    </comment>
    <comment ref="I13" authorId="0" shapeId="0">
      <text>
        <r>
          <rPr>
            <sz val="9"/>
            <color indexed="81"/>
            <rFont val="Tahoma"/>
            <family val="2"/>
          </rPr>
          <t>The number of bridges, culverts and dams in a catchment was divided by the average length of perennial streams and ditches in catchments up- and downstream of the scored catchment, within the major watershed. This smoothing algorithm corrected for skewed scores where catchments have very short streams.
A maximum density threshold density was determined by selecting the 95th percentile of all catchment structure densities. The density threshold was then used to scale catchment structure density values from 0 to 100 to create a health score. The catchment watershed structure density (95th percentile) = 1.91 structures per stream mile.
Aquatic Connectivity = (1 - ( ( Structure Count / Perennial Stream Length ) / Threshold Value ) ) * 100</t>
        </r>
      </text>
    </comment>
    <comment ref="C16" authorId="0" shapeId="0">
      <text>
        <r>
          <rPr>
            <sz val="9"/>
            <color indexed="81"/>
            <rFont val="Tahoma"/>
            <family val="2"/>
          </rPr>
          <t xml:space="preserve">See Major Flow Variability Metrics worksheet
</t>
        </r>
      </text>
    </comment>
    <comment ref="I16" authorId="1" shapeId="0">
      <text>
        <r>
          <rPr>
            <sz val="9"/>
            <color indexed="81"/>
            <rFont val="Tahoma"/>
            <family val="2"/>
          </rPr>
          <t xml:space="preserve">Provide the value of each metric in the Rating Column of the Catchment Assessment table and assign a rating of P/F/G accordingly.  The overall rating for this category will be determined by the lowest scoring metric.
</t>
        </r>
      </text>
    </comment>
    <comment ref="I17" authorId="0" shapeId="0">
      <text>
        <r>
          <rPr>
            <sz val="9"/>
            <color indexed="81"/>
            <rFont val="Tahoma"/>
            <family val="2"/>
          </rPr>
          <t xml:space="preserve">The pattern of intact to intensely used riparian land is very important for identifying areas that provide biologic and hydrologic access to important habitats and land area. Unimpeded access to riparian lands provide services such as land for seasonal flooding, habitat replenishment and refugia for many species.
A 200-meter (660 ft) buffer was created around perennial ditches and streams using 1:24,000 scale MN DNR Streams data. The 200-meter buffer was combined with 100 and 500-year Federal Emergency Management Agency (FEMA) designated floodplain and the maximum extent of the combined data layers was designated as “riparian area”. Land cover within the riparian area was calculated using the National Agricultural Statistical Service (NASS) land cover data.
The percent agricultural and developed land relative to the total riparian area was calculated and scored. Scores range from 0 (all lands within 200 meters of streams or in floodplains are in annual cropland or urban cover) to 100 (all lands are neither urban nor annual agriculture). The same analysis methods were used for both the major and catchment scale watershed health scores.
</t>
        </r>
      </text>
    </comment>
    <comment ref="I18" authorId="0" shapeId="0">
      <text>
        <r>
          <rPr>
            <sz val="9"/>
            <color indexed="81"/>
            <rFont val="Tahoma"/>
            <family val="2"/>
          </rPr>
          <t>Soil is moved by water, wind and human activity. Different soil types are more vulnerable to being transported and this has influenced the variety of landforms seen across Minnesota today.</t>
        </r>
        <r>
          <rPr>
            <b/>
            <sz val="9"/>
            <color indexed="81"/>
            <rFont val="Tahoma"/>
            <family val="2"/>
          </rPr>
          <t xml:space="preserve"> </t>
        </r>
        <r>
          <rPr>
            <sz val="9"/>
            <color indexed="81"/>
            <rFont val="Tahoma"/>
            <family val="2"/>
          </rPr>
          <t xml:space="preserve">
This index combines the inherent erodibility of a soil type (known as K-factor); with the position of the soil on the landscape (slope) to rank each watershed by its erosion potential. Soil types vary in their erodibility depending on their texture, structure, and other physical properties. Additionally, erosion potential increases with slope, in a non-linear fashion. 
Steep slopes near streams create a risk for excessive erosion. Steep slopes are susceptible to soil mass movement events. When mass movement occurs adjacent to streams, large quantities of soil are quickly mobilized by moving water, creating large contributions to the sediment load at intermittent times (Brooks, Folliott &amp; Magner,2013). The risk of mass movement increases when there is a high density of steep slopes near streams.
See https://www.dnr.state.mn.us/whaf/about/scores/geomorphology/soil_erodibilty.html
and 
https://www.dnr.state.mn.us/whaf/about/scores/geomorphology/steep-slopes.html
 for more information.
</t>
        </r>
      </text>
    </comment>
    <comment ref="I20" authorId="0" shapeId="0">
      <text>
        <r>
          <rPr>
            <sz val="9"/>
            <color indexed="81"/>
            <rFont val="Tahoma"/>
            <family val="2"/>
          </rPr>
          <t xml:space="preserve">Feedlots present a risk to water quality because of potential contamination from excess nutrients, microbial pathogens and pharmaceuticals present in the animal waste (Burkholder et al. 2007).
This index quantifies the density of localized potential pollution sources at the catchment and watershed scale. This density identifies the relative potential for impacts to water quality. The localized potential sources quantified for this index is:
registered animal feedlots (feedlots with 50+ animal units; or 10+ animal units in shoreland areas)
    </t>
        </r>
      </text>
    </comment>
    <comment ref="I21" authorId="0" shapeId="0">
      <text>
        <r>
          <rPr>
            <sz val="9"/>
            <color indexed="81"/>
            <rFont val="Tahoma"/>
            <family val="2"/>
          </rPr>
          <t>Structures (dams, bridges and culverts) on streams reduce the longitudinal and lateral hydrologic connectivity of the system. For example, impoundments above dams slow stream flow, cause deposition of sediment and reduce peak flows. Dams change both the discharge and sediment supply of streams, causing channel incision and bed coarsening downstream. Downstream areas are often sediment deprived, resulting in degradation, i.e., erosion of the streambed and streambanks (Staton et al. 2003). Culverts and bridges limit connectivity in a number of ways. They may constrict the channel resulting in impounded water, create pools and changes in the channel depth that are impassable to some fish species, and disconnect the stream from the floodplain</t>
        </r>
        <r>
          <rPr>
            <sz val="9"/>
            <color indexed="81"/>
            <rFont val="Tahoma"/>
            <family val="2"/>
          </rPr>
          <t xml:space="preserve">
The number of culverts and bridges was calculated from the Minnesota Department of Transportation (MnDOT) culvert and bridge database. The number of Dams was calculated from the National Dam Inventory. The number of bridges, culverts and dams in a catchment was divided by the average length of perennial streams and ditches in catchments up- and downstream of the scored catchment, within the major watershed. This smoothing algorithm corrected for skewed scores where catchments have very short streams.
A maximum density threshold density was determined by selecting the 95th percentile of all catchment structure densities. The density threshold was then used to scale catchment structure density values from 0 to 100 to create a health score. The catchment watershed structure density (95th percentile) = 1.91 structures per stream mile.
Aquatic Connectivity = (1 - ( ( Structure Count / Perennial Stream Length ) / Threshold Value ) ) * 100</t>
        </r>
      </text>
    </comment>
    <comment ref="I23" authorId="0" shapeId="0">
      <text>
        <r>
          <rPr>
            <sz val="9"/>
            <color indexed="81"/>
            <rFont val="Tahoma"/>
            <family val="2"/>
          </rPr>
          <t xml:space="preserve">The altered watercourse score measures the proportion of streams and rivers that have been altered within each catchment watershed. This score is the ratio of the length of altered watercourses in the catchment to the total length of watercourses present. Altered Watercourse Score = altered watercourse length/(altered + natural watercourse length) * 100
This ratio is multiplied by 100 to calculate an index score that ranges from 0 to 100. A score of 0 represents the worst condition (all streams are altered), a score of 100 represent the best condition (all streams are natural).
</t>
        </r>
        <r>
          <rPr>
            <b/>
            <sz val="9"/>
            <color indexed="81"/>
            <rFont val="Tahoma"/>
            <family val="2"/>
          </rPr>
          <t xml:space="preserve">
</t>
        </r>
        <r>
          <rPr>
            <sz val="9"/>
            <color indexed="81"/>
            <rFont val="Tahoma"/>
            <family val="2"/>
          </rPr>
          <t xml:space="preserve">The data used to calculate this metric was created by the Altered Watercourse Project, completed 2012. State-wide photointerpretation was used to classify all streams in the state into four major classes: Natural, Altered, Impounded or No Definable Channel.
</t>
        </r>
      </text>
    </comment>
  </commentList>
</comments>
</file>

<file path=xl/sharedStrings.xml><?xml version="1.0" encoding="utf-8"?>
<sst xmlns="http://schemas.openxmlformats.org/spreadsheetml/2006/main" count="1400" uniqueCount="405">
  <si>
    <t>Bank Height Ratio (BHR)</t>
  </si>
  <si>
    <t>Functional Category</t>
  </si>
  <si>
    <t>Function-Based Parameters</t>
  </si>
  <si>
    <t>Measurement Method</t>
  </si>
  <si>
    <t>Index</t>
  </si>
  <si>
    <t>Floodplain Connectivity</t>
  </si>
  <si>
    <t>Bank Height Ratio</t>
  </si>
  <si>
    <t>Entrenchment Ratio</t>
  </si>
  <si>
    <t>C</t>
  </si>
  <si>
    <t>E</t>
  </si>
  <si>
    <t>B</t>
  </si>
  <si>
    <t>Bc</t>
  </si>
  <si>
    <t>Field Value</t>
  </si>
  <si>
    <t>Index Value</t>
  </si>
  <si>
    <t>Roll Up Scoring</t>
  </si>
  <si>
    <t>Parameter</t>
  </si>
  <si>
    <t>Category</t>
  </si>
  <si>
    <t>A</t>
  </si>
  <si>
    <t>Sand</t>
  </si>
  <si>
    <t>LWD Index</t>
  </si>
  <si>
    <t>Geomorphology</t>
  </si>
  <si>
    <t>Large Woody Debris</t>
  </si>
  <si>
    <t>L/VL</t>
  </si>
  <si>
    <t>L/L</t>
  </si>
  <si>
    <t>L/M</t>
  </si>
  <si>
    <t>L/H</t>
  </si>
  <si>
    <t>L/VH</t>
  </si>
  <si>
    <t>M/VL</t>
  </si>
  <si>
    <t>M/L</t>
  </si>
  <si>
    <t>M/M</t>
  </si>
  <si>
    <t>M/H</t>
  </si>
  <si>
    <t>L/Ex</t>
  </si>
  <si>
    <t>H/L</t>
  </si>
  <si>
    <t>H/M</t>
  </si>
  <si>
    <t>H/H</t>
  </si>
  <si>
    <t>VH/VL</t>
  </si>
  <si>
    <t>Ex/VL</t>
  </si>
  <si>
    <t>H/Ex</t>
  </si>
  <si>
    <t>Ex/M</t>
  </si>
  <si>
    <t>Ex/H</t>
  </si>
  <si>
    <t>Ex/VH</t>
  </si>
  <si>
    <t>VH/VH</t>
  </si>
  <si>
    <t>Ex/Ex</t>
  </si>
  <si>
    <t>Dominant BEHI/NBS</t>
  </si>
  <si>
    <t>Riparian Vegetation</t>
  </si>
  <si>
    <t>Bed Form Diversity</t>
  </si>
  <si>
    <t>Pool Spacing Ratio</t>
  </si>
  <si>
    <t>Pool Depth Ratio</t>
  </si>
  <si>
    <t>EXISTING CONDITION ASSESSMENT</t>
  </si>
  <si>
    <t>PROPOSED CONDITION ASSESSMENT</t>
  </si>
  <si>
    <t>Restoration Potential:</t>
  </si>
  <si>
    <t>Physicochemical</t>
  </si>
  <si>
    <t>Biology</t>
  </si>
  <si>
    <t>Yes</t>
  </si>
  <si>
    <t>No</t>
  </si>
  <si>
    <t>Notes</t>
  </si>
  <si>
    <t>1. Users input values that are highlighted based on restoration potential</t>
  </si>
  <si>
    <t>Existing Stream Length (ft)</t>
  </si>
  <si>
    <t>Existing Parameter</t>
  </si>
  <si>
    <t>Proposed Parameter</t>
  </si>
  <si>
    <t>CATCHMENT ASSESSMENT</t>
  </si>
  <si>
    <t xml:space="preserve">Rater(s): </t>
  </si>
  <si>
    <t xml:space="preserve">Date: </t>
  </si>
  <si>
    <t>Categories</t>
  </si>
  <si>
    <t>Description of Catchment Condition</t>
  </si>
  <si>
    <t>TMDL</t>
  </si>
  <si>
    <t>Grant</t>
  </si>
  <si>
    <t>Other</t>
  </si>
  <si>
    <t>Programmatic Goals</t>
  </si>
  <si>
    <t>Select:</t>
  </si>
  <si>
    <t>Fish</t>
  </si>
  <si>
    <t>GEOMORPHOLOGY</t>
  </si>
  <si>
    <t>PHYSICOCHEMICAL</t>
  </si>
  <si>
    <t>BIOLOGY</t>
  </si>
  <si>
    <t>Temperature</t>
  </si>
  <si>
    <t>Proposed Stream Length (ft)</t>
  </si>
  <si>
    <t>F</t>
  </si>
  <si>
    <t>G</t>
  </si>
  <si>
    <t>Proposed Bed Material:</t>
  </si>
  <si>
    <t>Percent Streambank Erosion (%)</t>
  </si>
  <si>
    <t>Gc</t>
  </si>
  <si>
    <t>M/Ex</t>
  </si>
  <si>
    <t>M/VH</t>
  </si>
  <si>
    <t>H/VL</t>
  </si>
  <si>
    <t>H/VH</t>
  </si>
  <si>
    <t>VH/L</t>
  </si>
  <si>
    <t>VH/M</t>
  </si>
  <si>
    <t>VH/H</t>
  </si>
  <si>
    <t>VH/Ex</t>
  </si>
  <si>
    <t>Ex/L</t>
  </si>
  <si>
    <t>Insert Aerial Photo of Project Reach</t>
  </si>
  <si>
    <t>Reach ID:</t>
  </si>
  <si>
    <t>Existing Stream Type:</t>
  </si>
  <si>
    <t>FUNCTIONAL CATEGORY REPORT CARD</t>
  </si>
  <si>
    <t xml:space="preserve">Functional Category  </t>
  </si>
  <si>
    <t>ECS</t>
  </si>
  <si>
    <t>PCS</t>
  </si>
  <si>
    <t>Bed Material Characterization</t>
  </si>
  <si>
    <t>Project Name:</t>
  </si>
  <si>
    <t>a</t>
  </si>
  <si>
    <t>b</t>
  </si>
  <si>
    <t>NF</t>
  </si>
  <si>
    <t>c</t>
  </si>
  <si>
    <t>d</t>
  </si>
  <si>
    <t>Proposed Condition Score (PCS)</t>
  </si>
  <si>
    <t>FUNCTION BASED PARAMETERS SUMMARY</t>
  </si>
  <si>
    <t>Poor</t>
  </si>
  <si>
    <t>Fair</t>
  </si>
  <si>
    <t>Good</t>
  </si>
  <si>
    <t>Rating (P/F/G)</t>
  </si>
  <si>
    <t>P</t>
  </si>
  <si>
    <t xml:space="preserve">This sheet provides the formulas used to calculate index values from the field values entered on the Quantification Tool worksheet.  Formulas are fit to known delineations between Functioning, Functioning-At-Risk and Not Functioning. </t>
  </si>
  <si>
    <t xml:space="preserve">This sheet is locked to prevent editing. If you have suggested changes based on watershed-specific data, please contact your local permitting agency or client. </t>
  </si>
  <si>
    <t>Reach Runoff</t>
  </si>
  <si>
    <t>Version Last Updated</t>
  </si>
  <si>
    <t>Size Class Pebble Count Analyzer (p-value)</t>
  </si>
  <si>
    <t xml:space="preserve">As-Built </t>
  </si>
  <si>
    <t>As-Built</t>
  </si>
  <si>
    <t>Overall Score</t>
  </si>
  <si>
    <t>Functional Feet</t>
  </si>
  <si>
    <t>Monitoring Year</t>
  </si>
  <si>
    <t>3. Leave values blank for field values that were not measured</t>
  </si>
  <si>
    <t>2. Users select values from a pull-down menu</t>
  </si>
  <si>
    <t>Existing and Proposed Stream Types</t>
  </si>
  <si>
    <t>Proposed Bed Material</t>
  </si>
  <si>
    <t>BEHI/NBS Scores</t>
  </si>
  <si>
    <t>Restoration Potential</t>
  </si>
  <si>
    <t>Yes/No</t>
  </si>
  <si>
    <t>Overall Watershed Condition</t>
  </si>
  <si>
    <t>Macroinvertebrates</t>
  </si>
  <si>
    <t>Ba</t>
  </si>
  <si>
    <t>Cb</t>
  </si>
  <si>
    <t>Pool Spacing Ratio for Bc Stream Types</t>
  </si>
  <si>
    <t>Rising Limb</t>
  </si>
  <si>
    <t>Falling limb</t>
  </si>
  <si>
    <t>Falling Limb</t>
  </si>
  <si>
    <t>Aggradation Ratio</t>
  </si>
  <si>
    <t>Coefficients - Y = a * X^3 + b * X^2 + c * X + d</t>
  </si>
  <si>
    <t>Contractors:</t>
  </si>
  <si>
    <t>Ecosystem Planning and Restoration (EPR) through a contract with the U.S. Environmental</t>
  </si>
  <si>
    <t>Stream Mechanics as a sub-contractor to EPR</t>
  </si>
  <si>
    <t>Contributing Agencies:</t>
  </si>
  <si>
    <t>U.S. Environmental Protection Agency</t>
  </si>
  <si>
    <t>Reference Stream Type:</t>
  </si>
  <si>
    <t>FAR</t>
  </si>
  <si>
    <t>Valley Type</t>
  </si>
  <si>
    <t>FUNCTIONAL CHANGE SUMMARY</t>
  </si>
  <si>
    <t>Mitigation - Credits</t>
  </si>
  <si>
    <t>Reach Description</t>
  </si>
  <si>
    <t>The Stream Quantification Tool Credits:</t>
  </si>
  <si>
    <t>Change in Stream Length (ft)</t>
  </si>
  <si>
    <t>Change in Functional Condition (PCS - ECS)</t>
  </si>
  <si>
    <t>MITIGATION SUMMARY</t>
  </si>
  <si>
    <t>(FF)</t>
  </si>
  <si>
    <t>Functional Change</t>
  </si>
  <si>
    <t>Unconfined Alluvial</t>
  </si>
  <si>
    <t>Confined Alluvial</t>
  </si>
  <si>
    <t>Colluvial/V-Shaped</t>
  </si>
  <si>
    <t>Coefficients - Y = a * X + b</t>
  </si>
  <si>
    <t xml:space="preserve">Coefficients - Y = a * X + b </t>
  </si>
  <si>
    <t>Coefficients - Y = a * X^2 + b * X + c</t>
  </si>
  <si>
    <t>Proposed FF - Existing FF</t>
  </si>
  <si>
    <t>Existing Functional Feet (FF)</t>
  </si>
  <si>
    <t>Proposed Functional Feet (FF)</t>
  </si>
  <si>
    <t>Substantial reduction or augmentation of natural flow regime.</t>
  </si>
  <si>
    <t>Minimal reduction or augmentation of natural flow regime.</t>
  </si>
  <si>
    <t>Moderate reduction or augmentation of natural flow regime.</t>
  </si>
  <si>
    <t>Drainage Area (sq.mi.):</t>
  </si>
  <si>
    <t>Valley Type:</t>
  </si>
  <si>
    <t>Land Use Coefficient</t>
  </si>
  <si>
    <t>Metric</t>
  </si>
  <si>
    <t>Function-Based Parameter</t>
  </si>
  <si>
    <t>Coefficients - Y = a  * X + b</t>
  </si>
  <si>
    <t>Percent Riffle (%)</t>
  </si>
  <si>
    <t>Restoration Approach</t>
  </si>
  <si>
    <t>Lat:</t>
  </si>
  <si>
    <t>Long:</t>
  </si>
  <si>
    <t>Site Information and 
Reference Selection</t>
  </si>
  <si>
    <t>Silt/Clay</t>
  </si>
  <si>
    <t>Gravel</t>
  </si>
  <si>
    <t>Cobble</t>
  </si>
  <si>
    <t>Boulders</t>
  </si>
  <si>
    <t>Bedrock</t>
  </si>
  <si>
    <t xml:space="preserve">Overall Watershed Condition       </t>
  </si>
  <si>
    <t>Existing Condition Score (ECS)</t>
  </si>
  <si>
    <t>Percent Change in FF (%)</t>
  </si>
  <si>
    <t>Date</t>
  </si>
  <si>
    <t xml:space="preserve">Partial </t>
  </si>
  <si>
    <t xml:space="preserve">Full </t>
  </si>
  <si>
    <t>Herbaceous Vegetation Cover (%)</t>
  </si>
  <si>
    <t xml:space="preserve">Coefficients - Y = a * X+ b </t>
  </si>
  <si>
    <t>NF/FAR</t>
  </si>
  <si>
    <t>Herbaceous Vegetation Cover</t>
  </si>
  <si>
    <t>Percent Armoring</t>
  </si>
  <si>
    <t xml:space="preserve">Coefficients - Y = a  * X + b </t>
  </si>
  <si>
    <t>Percent Armoring (%)</t>
  </si>
  <si>
    <t>Lateral Migration</t>
  </si>
  <si>
    <t>LWD - # Pieces / 100 meters</t>
  </si>
  <si>
    <t>Unconfined Alluvial Valleys</t>
  </si>
  <si>
    <t>Confined Alluvial or Colluvial/V-Shaped Valleys</t>
  </si>
  <si>
    <t>Hydraulics</t>
  </si>
  <si>
    <t>Hydrology</t>
  </si>
  <si>
    <t xml:space="preserve">Hydrology </t>
  </si>
  <si>
    <t>Fish IBI Class</t>
  </si>
  <si>
    <t>Macroinvertebrate  IBI - Northern</t>
  </si>
  <si>
    <t>Northern Forest Rivers</t>
  </si>
  <si>
    <t>Northern Forest Streams Riffle-run</t>
  </si>
  <si>
    <t>Northern Forest Streams Glide-pool</t>
  </si>
  <si>
    <t>Northern Coldwater</t>
  </si>
  <si>
    <t>Macroinvertebrate  IBI - Southern</t>
  </si>
  <si>
    <t>Southern Forest Streams Riffle-run</t>
  </si>
  <si>
    <t>Southern Forest Streams Glide-pool</t>
  </si>
  <si>
    <t>Southern Coldwater</t>
  </si>
  <si>
    <t>Macroinvertebrate  IBI - Prairie</t>
  </si>
  <si>
    <t>Prairie Forest Rivers</t>
  </si>
  <si>
    <t>Prairie Streams Glide-Pool</t>
  </si>
  <si>
    <t>Fish  IBI - Northern</t>
  </si>
  <si>
    <t>Northern Rivers</t>
  </si>
  <si>
    <t>Northern Streams</t>
  </si>
  <si>
    <t>Northern Headwaters</t>
  </si>
  <si>
    <t>Fish  IBI - Southern</t>
  </si>
  <si>
    <t>Southern River</t>
  </si>
  <si>
    <t>Southern Streams</t>
  </si>
  <si>
    <t>Southern Headwaters</t>
  </si>
  <si>
    <t>Fish  IBI - Low Gradient</t>
  </si>
  <si>
    <t>Low Gradient</t>
  </si>
  <si>
    <t>Macroinvertebrate IBI</t>
  </si>
  <si>
    <t>Fish IBI</t>
  </si>
  <si>
    <t>Macro IBI Class</t>
  </si>
  <si>
    <t>Flow Alteration - Water Use (Hydrology)</t>
  </si>
  <si>
    <t>Land Use Change  (Hydrology)</t>
  </si>
  <si>
    <t>Roads (Hydrology)</t>
  </si>
  <si>
    <t>Major roads located in or adjacent to project reach and/or high road density in catchment.</t>
  </si>
  <si>
    <t xml:space="preserve">Few major or minor roads in or adjacent to project reach.  Moderate road density in catchment.   </t>
  </si>
  <si>
    <t xml:space="preserve">No major or minor roads in or adjacent to project reach.  Low road density in catchment.  </t>
  </si>
  <si>
    <t>Percent Forested (Hydrology)</t>
  </si>
  <si>
    <t>&gt;20% and &lt;70%</t>
  </si>
  <si>
    <t>Percent Agricultural Land (Hydrology/Physicochemical)</t>
  </si>
  <si>
    <t>Flashiness Index (Hydrology)</t>
  </si>
  <si>
    <t>Riparian Connectivity - Vegetation (Geomorphology)</t>
  </si>
  <si>
    <t>Sediment Supply (Geomorphology)</t>
  </si>
  <si>
    <t>Localized Potential Pollution Sources, Animal Units (Physicochemical)</t>
  </si>
  <si>
    <t>Longitudinal Connectivity of the stream network (Biology)</t>
  </si>
  <si>
    <t>Organism Recruitment (Biology)</t>
  </si>
  <si>
    <t>Catchment Name and Number:</t>
  </si>
  <si>
    <t>Watershed Name (HUC 8) and Number:</t>
  </si>
  <si>
    <t>WHAF Index/Metric</t>
  </si>
  <si>
    <t xml:space="preserve">INDEX: Impervious Cover (time series) </t>
  </si>
  <si>
    <t xml:space="preserve">INDEX: Perennial Cover (time series) </t>
  </si>
  <si>
    <t>INDEX: Aquatic Connectivity</t>
  </si>
  <si>
    <t>NLCD Land Use Charts, Ecoregions</t>
  </si>
  <si>
    <t>NLCD Land Use Charts, 'Cultivated' land</t>
  </si>
  <si>
    <t>INDEX: Riparian Connectivity</t>
  </si>
  <si>
    <t>MN DNR WHAF Website:</t>
  </si>
  <si>
    <t>https://arcgis.dnr.state.mn.us/ewr/whaf2/</t>
  </si>
  <si>
    <t>Organism Recruitment
INDEX: Stream Species, Aquatic Life Assessments
DATA: Fish, Invert IBI, Mussel site, fully supporting reaches</t>
  </si>
  <si>
    <t>INDEX: Altered Watercourse
DATA: Altered Watercourse; Public watercourses/Ditch (DNR data access)</t>
  </si>
  <si>
    <r>
      <t xml:space="preserve">Inline Impoundments
INDEX: Aquatic Connectivity
DATA: </t>
    </r>
    <r>
      <rPr>
        <b/>
        <sz val="10"/>
        <rFont val="Arial"/>
        <family val="2"/>
      </rPr>
      <t>Dams</t>
    </r>
    <r>
      <rPr>
        <sz val="10"/>
        <rFont val="Arial"/>
        <family val="2"/>
      </rPr>
      <t>, bridges, culverts</t>
    </r>
  </si>
  <si>
    <t>INDEX: Animal Unit metric
DATA: Feedlots</t>
  </si>
  <si>
    <t>Impairments
INDEX: Aquatic Life Assessments
DATA: Impaired Waters</t>
  </si>
  <si>
    <t xml:space="preserve">Flow Alteration
INDEX: Water withdrawal </t>
  </si>
  <si>
    <t>WHAF score equivalents: 
0-40 = Poor; 41-70=Fair; 71-100=Good</t>
  </si>
  <si>
    <t>INDEX: Soil Erosion Susceptibility; Steep Slopes Near Streams</t>
  </si>
  <si>
    <t>Ditched or straightened streams (Hydrology)</t>
  </si>
  <si>
    <r>
      <t>≥</t>
    </r>
    <r>
      <rPr>
        <sz val="8"/>
        <rFont val="Arial"/>
        <family val="2"/>
      </rPr>
      <t xml:space="preserve"> </t>
    </r>
    <r>
      <rPr>
        <sz val="10"/>
        <rFont val="Arial"/>
        <family val="2"/>
      </rPr>
      <t>70%</t>
    </r>
  </si>
  <si>
    <t>≤20%</t>
  </si>
  <si>
    <t>Pool Spacing Ratio for C and E Streams</t>
  </si>
  <si>
    <t>Percent Riffle for A and B Streams</t>
  </si>
  <si>
    <t>Percent Riffle for C and E Stream Types</t>
  </si>
  <si>
    <t>HYDROLOGY</t>
  </si>
  <si>
    <t>HYDRAULICS</t>
  </si>
  <si>
    <t>BMP MIDS Rv Coefficient</t>
  </si>
  <si>
    <t>Summer Average (⁰C)</t>
  </si>
  <si>
    <t>Summer Average</t>
  </si>
  <si>
    <t>Use Class:</t>
  </si>
  <si>
    <t>2A</t>
  </si>
  <si>
    <t>2B</t>
  </si>
  <si>
    <t>2Bd</t>
  </si>
  <si>
    <t>2C</t>
  </si>
  <si>
    <t>Use Class</t>
  </si>
  <si>
    <t>Dissolved Oxygen</t>
  </si>
  <si>
    <t>DO (mg/L)</t>
  </si>
  <si>
    <t>2B/2Bd/2C</t>
  </si>
  <si>
    <t>River Nutrient Regions:</t>
  </si>
  <si>
    <t>River Nutrient Regions</t>
  </si>
  <si>
    <t>North</t>
  </si>
  <si>
    <t>Central</t>
  </si>
  <si>
    <t>South</t>
  </si>
  <si>
    <t>TSS</t>
  </si>
  <si>
    <t>2A / -</t>
  </si>
  <si>
    <t>2B/2Bd/2C - North</t>
  </si>
  <si>
    <t>2B/2Bd/2C - Central</t>
  </si>
  <si>
    <t>2B/2Bd/2C - South</t>
  </si>
  <si>
    <t>Total Suspended Solids</t>
  </si>
  <si>
    <t>TSS (mg/L)</t>
  </si>
  <si>
    <t>Riparian Buffer Width (%)</t>
  </si>
  <si>
    <t>Canopy Cover</t>
  </si>
  <si>
    <t>Canopy Cover (%)</t>
  </si>
  <si>
    <t xml:space="preserve">Minnesota Board of Water and Soil Resources </t>
  </si>
  <si>
    <t>Minnesota Department of Natural Resources</t>
  </si>
  <si>
    <t xml:space="preserve">Minnesota Pollution Control Agency </t>
  </si>
  <si>
    <t>Woody vegetation is a natural component of riparian zone</t>
  </si>
  <si>
    <t>Concentrated Flow Points / 1,000 feet</t>
  </si>
  <si>
    <t>Pool Spacing Ratio for A and B Stream Types</t>
  </si>
  <si>
    <t>DO</t>
  </si>
  <si>
    <t>Riparian Buffer Width</t>
  </si>
  <si>
    <r>
      <rPr>
        <b/>
        <sz val="11"/>
        <rFont val="Calibri"/>
        <family val="2"/>
        <scheme val="minor"/>
      </rPr>
      <t>Lead Agency:</t>
    </r>
    <r>
      <rPr>
        <sz val="11"/>
        <rFont val="Calibri"/>
        <family val="2"/>
        <scheme val="minor"/>
      </rPr>
      <t xml:space="preserve"> U.S. Army Corps of Engineers, St. Paul District</t>
    </r>
  </si>
  <si>
    <t>H_I_FV</t>
  </si>
  <si>
    <t>H_M_FV_MM</t>
  </si>
  <si>
    <t>H_M_FV_RFC</t>
  </si>
  <si>
    <t>H_M_FV_MDX</t>
  </si>
  <si>
    <t>H_M_FV_TX</t>
  </si>
  <si>
    <t>H_M_FV_FDP</t>
  </si>
  <si>
    <t>Flow Variability, 
Combined Index</t>
  </si>
  <si>
    <t>Flow Variability, 
Monthly Magnitude</t>
  </si>
  <si>
    <t>Flow Variability, 
Rate and Frequency of Change</t>
  </si>
  <si>
    <t>Flow Variability, 
Magnitude and Duration of Annual Extremes</t>
  </si>
  <si>
    <t>Flow Variability, 
Timing of Annual Extremes</t>
  </si>
  <si>
    <t>Flow Variability, 
Frequency and Duration 
of High/Low Pulses</t>
  </si>
  <si>
    <t>Lester, Amity</t>
  </si>
  <si>
    <t>Miller</t>
  </si>
  <si>
    <t>Projection Agency (Contract No. EP-C-17-001).</t>
  </si>
  <si>
    <t>Extensive Livestock (animal units) in area and potential access to stream - scores of 40% or less.</t>
  </si>
  <si>
    <t>Moderate Livestock (animal units) in area and potential access to stream - scores between 41% and 70%.</t>
  </si>
  <si>
    <t>Low levels of Livestock (animal units) in area and low likely access to stream - scores of 71% or greater.</t>
  </si>
  <si>
    <t>High sediment supply from upstream bank erosion and surface runoff. Use scores for Soil Erosion Susceptibility and for Steep Slopes Near Streams to estimate sediment supply - scores of 40% or less.</t>
  </si>
  <si>
    <t>Moderate sediment supply from upstream bank erosion and surface runoff. Use scores for Soil Erosion Susceptibility and for Steep Slopes Near Streams to estimate sediment supply - scores between 41 to 70%.</t>
  </si>
  <si>
    <t>Low sediment supply. Upstream bank erosion and surface runoff is minimal.  Use scores for Soil Erosion Susceptibility and for Steep Slopes Near Streams to estimate sediment supply - scores of 71% or greater.</t>
  </si>
  <si>
    <r>
      <t xml:space="preserve">Minnesota Integrated Report (305(b) and 303(d)) designated use support status </t>
    </r>
    <r>
      <rPr>
        <i/>
        <sz val="10"/>
        <color rgb="FF212121"/>
        <rFont val="Arial"/>
        <family val="2"/>
      </rPr>
      <t>(Note: impairments with atmospheric deposition as a source should be excluded*)</t>
    </r>
  </si>
  <si>
    <t>On or immediately upstream or downstream of a waterbody in Category 5 OR in Category 4c (i.e., designated use impairment not actively being mitigated).</t>
  </si>
  <si>
    <t>On or immediately upstream or downstream of a waterbody in Category 4a or 4b (i.e., active mitigation of designated use impairment through approved TMDL or other control mechanisms).</t>
  </si>
  <si>
    <t>No adjacent waterbodies listed as not supporting a designated use (i.e., all designated uses either unassessed or in Category 1, 2, or 3).</t>
  </si>
  <si>
    <t>Perennial Cover (PC) Index Score of 40% or less = % PC remaining -&gt; Highly Altered Landscape.</t>
  </si>
  <si>
    <t>PC Index Score of 41 to 70% or less -&gt; Altered Landscape.</t>
  </si>
  <si>
    <t>PC Index Score of 71% or greater -&gt; Minimally Altered Landscape.</t>
  </si>
  <si>
    <t>IC Index Score Between 41% and 70%.</t>
  </si>
  <si>
    <t>Stream Species Quality Fish /Stream Species Quality Invertebrates -  scores of 40% or less.</t>
  </si>
  <si>
    <t>Stream Species Quality Fish /Stream Species Quality Invertebrates -  scores between 41 to 70%.</t>
  </si>
  <si>
    <t>Stream Species Quality Fish /Stream Species Quality Invertebrates -  scores of 71% or greater.</t>
  </si>
  <si>
    <t>Altered watercourse score - 71% or greater.</t>
  </si>
  <si>
    <t>Altered watercourse score between 41 and 70%.</t>
  </si>
  <si>
    <t>Altered Watercourse Index Score of 40% or less.</t>
  </si>
  <si>
    <t>AC Index Score Between 41% and 70%.</t>
  </si>
  <si>
    <t xml:space="preserve">AC Index score of 71% or greater. </t>
  </si>
  <si>
    <t xml:space="preserve">Aquatic Connectivity (AC) Index Score of 40 or less. </t>
  </si>
  <si>
    <t>Riparian Connectivity (RC) Index Score of 40% or less.</t>
  </si>
  <si>
    <t>RC Index Score Between 41% and 70%.</t>
  </si>
  <si>
    <t>RC Index score of 71% or greater.</t>
  </si>
  <si>
    <t>Concentrated Flow Points / 1,000 ft</t>
  </si>
  <si>
    <t>Formulas and coefficients are listed above each plot where coefficients (a, b, c, etc.) are used to calculate index values on the Quantification Tool worksheet. Y is the index value and X is the field value.</t>
  </si>
  <si>
    <t>&gt;0.1</t>
  </si>
  <si>
    <t>The following Major Flow Variablity Metrics are provided for the evaluation of the Flashiness Index (Hydrology) category of the Catchment Assessment.</t>
  </si>
  <si>
    <t>MAJOR
HUC-8</t>
  </si>
  <si>
    <t>No. of LWD Pieces / 100 meters</t>
  </si>
  <si>
    <t>Prairie Streams Glide-pool</t>
  </si>
  <si>
    <t>Any optional metric may be required by the regulating agency on a case-by-case basis.</t>
  </si>
  <si>
    <t xml:space="preserve">Scenarios </t>
  </si>
  <si>
    <t>Required for all assessments.</t>
  </si>
  <si>
    <t>Optional. Use where BMPs are proposed on adjacent drainage.</t>
  </si>
  <si>
    <t xml:space="preserve">Optional. Contact coordinating agency before including this parameter. </t>
  </si>
  <si>
    <t>Optional. Use where water quality standards are not being met and BMPs are proposed on adjacent drainage.</t>
  </si>
  <si>
    <t>Optional for all partial restoration potential projects. 
Required for full restoration potential projects.</t>
  </si>
  <si>
    <t>VL/VL</t>
  </si>
  <si>
    <t>VL/L</t>
  </si>
  <si>
    <t>VL/M</t>
  </si>
  <si>
    <t>VL/H</t>
  </si>
  <si>
    <t>VL/VH</t>
  </si>
  <si>
    <t>VL/Ex</t>
  </si>
  <si>
    <t>Purpose: This form is used to determine the project's restoration potential. The catchment assessment is performed on the catchment and contributing area for the project reach. Note the contributing area may be downstream as well, as in the case where a dam exists downstream which restricts movement/recovery of fishes.</t>
  </si>
  <si>
    <t>Entrenchment Ratio (ER) C and E Streams</t>
  </si>
  <si>
    <t>Required for all assessments, except when BMP MIDS is used.</t>
  </si>
  <si>
    <t>≥70%</t>
  </si>
  <si>
    <t>Woody vegetation is not a natural component of riparian zone</t>
  </si>
  <si>
    <t>Entrenchment Ratio (ER) A, Ba, B and Bc Streams</t>
  </si>
  <si>
    <t>Measurement Selection Guide</t>
  </si>
  <si>
    <t>Required to  use wither LWDI or No. of LWD Pieces, but not both.</t>
  </si>
  <si>
    <t>Only use when armoring techniques are present or proposed. If armoring is proposed, use instead of BEHI/NBS for proposed condition score.</t>
  </si>
  <si>
    <t>Woody Stem Basal Area (sqm/hectare)</t>
  </si>
  <si>
    <t>Required only if woody vegetation is determined to be a natural component of the riparian buffer.</t>
  </si>
  <si>
    <t>Optional. Use where BMPs are proposed on adjacent drainage or project are large enough to show lift.</t>
  </si>
  <si>
    <t>Woody Stem Basal Area</t>
  </si>
  <si>
    <t xml:space="preserve">   Last Monitoring Year</t>
  </si>
  <si>
    <t>The following table is provided to assist project owners, regulators  and practitioners in selecting the appropriate parameters and metrics for each stream</t>
  </si>
  <si>
    <t>Optional. Use for cold water streams that are thermally impacted.</t>
  </si>
  <si>
    <t>Reference stream type is the stream type that should occur in a given landscape setting given the hydrogeomorphic processes occurring at the watershed and reach scales. Channel evolution scenarios should be used to inform the reference stream type in the MNSQT.</t>
  </si>
  <si>
    <t>Woody Vegetation Natural Component:</t>
  </si>
  <si>
    <t>Macroinvertebrate IBI Class:</t>
  </si>
  <si>
    <t>Fish IBI Class:</t>
  </si>
  <si>
    <t>Existing Stream Length (ft):</t>
  </si>
  <si>
    <t>Proposed Stream Length (ft):</t>
  </si>
  <si>
    <t>FF Yield (FF/ft)</t>
  </si>
  <si>
    <t>restoration project reach. All parameters and metrics would rarely, if ever, be used for a single project. The scenarios below show when each parameter could be</t>
  </si>
  <si>
    <r>
      <t>used. Note, if a metric is selected, it must be assessed for the existing</t>
    </r>
    <r>
      <rPr>
        <i/>
        <sz val="11"/>
        <color theme="1"/>
        <rFont val="Calibri"/>
        <family val="2"/>
        <scheme val="minor"/>
      </rPr>
      <t xml:space="preserve"> </t>
    </r>
    <r>
      <rPr>
        <b/>
        <sz val="11"/>
        <color theme="1"/>
        <rFont val="Calibri"/>
        <family val="2"/>
        <scheme val="minor"/>
      </rPr>
      <t>and</t>
    </r>
    <r>
      <rPr>
        <sz val="11"/>
        <color theme="1"/>
        <rFont val="Calibri"/>
        <family val="2"/>
        <scheme val="minor"/>
      </rPr>
      <t xml:space="preserve"> proposed condition.</t>
    </r>
  </si>
  <si>
    <t>IHA Analysis: Use the Rate and Frequency of Change metric (H_M_FV_RFC) and the Frequency and Duration of High/Low Pulses metric (H_M_FV_FDP) - scores of 40% or less.</t>
  </si>
  <si>
    <t>IHA Analysis: Use the Rate and Frequency of Change metric (H_M_FV_RFC) and the Frequency and Duration of High/Low Pulses metric (H_M_FV_FDP) - scores of between 41% to 70%.</t>
  </si>
  <si>
    <t>IHA Analysis: Use the Rate and Frequency of Change metric (H_M_FV_RFC) and the Frequency and Duration of High/Low Pulses metric (H_M_FV_FDP) - scores of 71% or more.</t>
  </si>
  <si>
    <t>Major Flow Variability Matrics Worksheet: Rate and Frequency of Change metric (H_M_FV_RFC) and the Frequency and Duration of High/Low Pulses metric (H_M_FV_FDP)</t>
  </si>
  <si>
    <t>Impervious Cover (Hydrology)</t>
  </si>
  <si>
    <t xml:space="preserve">Impervious Cover (IC) Index Score of 40% or less. </t>
  </si>
  <si>
    <t>IC Index score of 71% or greater.</t>
  </si>
  <si>
    <t>Version 1.02</t>
  </si>
  <si>
    <t>Required for all assessments. Not applicable to stream/wetland complexes with DA stream types.</t>
  </si>
  <si>
    <t>Optional. Recommended for meandering single-thread stream types where the riffles are exhibiting signs of aggradation. Not applicable to stream/wetland complexes with DA stream types.</t>
  </si>
  <si>
    <t>Required for all assessments. Not applicable in stream/wetland complexes with DA stream types.</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</si>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</sst>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
    <numFmt numFmtId="166" formatCode="0.000"/>
    <numFmt numFmtId="167" formatCode="0.00000"/>
    <numFmt numFmtId="168" formatCode="0.000000"/>
    <numFmt numFmtId="169" formatCode="0.00000000"/>
  </numFmts>
  <fonts count="47" x14ac:knownFonts="1">
    <font>
      <sz val="11"/>
      <color theme="1"/>
      <name val="Calibri"/>
      <family val="2"/>
      <scheme val="minor"/>
    </font>
    <font>
      <b/>
      <sz val="11"/>
      <color theme="1"/>
      <name val="Calibri"/>
      <family val="2"/>
      <scheme val="minor"/>
    </font>
    <font>
      <sz val="9"/>
      <color indexed="81"/>
      <name val="Tahoma"/>
      <family val="2"/>
    </font>
    <font>
      <sz val="10"/>
      <name val="Arial"/>
      <family val="2"/>
    </font>
    <font>
      <b/>
      <sz val="14"/>
      <name val="Arial"/>
      <family val="2"/>
    </font>
    <font>
      <sz val="11"/>
      <name val="Arial"/>
      <family val="2"/>
    </font>
    <font>
      <b/>
      <sz val="12"/>
      <name val="Arial"/>
      <family val="2"/>
    </font>
    <font>
      <b/>
      <sz val="13"/>
      <color theme="1"/>
      <name val="Calibri"/>
      <family val="2"/>
      <scheme val="minor"/>
    </font>
    <font>
      <sz val="11"/>
      <name val="Calibri"/>
      <family val="2"/>
      <scheme val="minor"/>
    </font>
    <font>
      <b/>
      <sz val="14"/>
      <color theme="1"/>
      <name val="Calibri"/>
      <family val="2"/>
      <scheme val="minor"/>
    </font>
    <font>
      <i/>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4"/>
      <color theme="1"/>
      <name val="Calibri"/>
      <family val="2"/>
      <scheme val="minor"/>
    </font>
    <font>
      <sz val="11"/>
      <color theme="1"/>
      <name val="Calibri"/>
      <family val="2"/>
      <scheme val="minor"/>
    </font>
    <font>
      <sz val="11"/>
      <color rgb="FFFF0000"/>
      <name val="Calibri"/>
      <family val="2"/>
      <scheme val="minor"/>
    </font>
    <font>
      <sz val="11"/>
      <color theme="1"/>
      <name val="Calibri"/>
      <family val="2"/>
      <scheme val="minor"/>
    </font>
    <font>
      <b/>
      <sz val="16"/>
      <color theme="1"/>
      <name val="Calibri"/>
      <family val="2"/>
      <scheme val="minor"/>
    </font>
    <font>
      <sz val="12"/>
      <color theme="1"/>
      <name val="Calibri"/>
      <family val="2"/>
      <scheme val="minor"/>
    </font>
    <font>
      <sz val="18"/>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2"/>
      <name val="Calibri"/>
      <family val="2"/>
      <scheme val="minor"/>
    </font>
    <font>
      <sz val="12"/>
      <color rgb="FF000000"/>
      <name val="Calibri"/>
      <family val="2"/>
      <scheme val="minor"/>
    </font>
    <font>
      <sz val="11"/>
      <color theme="1"/>
      <name val="Calibri"/>
      <family val="2"/>
      <scheme val="minor"/>
    </font>
    <font>
      <b/>
      <sz val="15"/>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b/>
      <sz val="16"/>
      <color theme="1"/>
      <name val="Calibri"/>
      <family val="2"/>
      <scheme val="minor"/>
    </font>
    <font>
      <sz val="14"/>
      <color rgb="FFFF0000"/>
      <name val="Calibri"/>
      <family val="2"/>
      <scheme val="minor"/>
    </font>
    <font>
      <sz val="10.5"/>
      <color rgb="FF000000"/>
      <name val="Calibri"/>
      <family val="2"/>
      <scheme val="minor"/>
    </font>
    <font>
      <sz val="10.5"/>
      <color theme="1"/>
      <name val="Calibri"/>
      <family val="2"/>
      <scheme val="minor"/>
    </font>
    <font>
      <sz val="8"/>
      <name val="Arial"/>
      <family val="2"/>
    </font>
    <font>
      <b/>
      <sz val="10"/>
      <name val="Arial"/>
      <family val="2"/>
    </font>
    <font>
      <b/>
      <sz val="11"/>
      <name val="Arial"/>
      <family val="2"/>
    </font>
    <font>
      <b/>
      <sz val="9"/>
      <color indexed="81"/>
      <name val="Tahoma"/>
      <family val="2"/>
    </font>
    <font>
      <u/>
      <sz val="11"/>
      <color theme="10"/>
      <name val="Calibri"/>
      <family val="2"/>
      <scheme val="minor"/>
    </font>
    <font>
      <u/>
      <sz val="11"/>
      <color theme="10"/>
      <name val="Arial"/>
      <family val="2"/>
    </font>
    <font>
      <b/>
      <sz val="11"/>
      <name val="Calibri"/>
      <family val="2"/>
      <scheme val="minor"/>
    </font>
    <font>
      <sz val="10"/>
      <color rgb="FF212121"/>
      <name val="Arial"/>
      <family val="2"/>
    </font>
    <font>
      <i/>
      <sz val="10"/>
      <color rgb="FF212121"/>
      <name val="Arial"/>
      <family val="2"/>
    </font>
    <font>
      <sz val="10.5"/>
      <name val="Calibri"/>
      <family val="2"/>
      <scheme val="minor"/>
    </font>
  </fonts>
  <fills count="2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indexed="22"/>
      </patternFill>
    </fill>
    <fill>
      <patternFill patternType="solid">
        <fgColor theme="2" tint="-9.9978637043366805E-2"/>
        <bgColor indexed="64"/>
      </patternFill>
    </fill>
    <fill>
      <patternFill patternType="solid">
        <fgColor theme="7" tint="0.59999389629810485"/>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n">
        <color indexed="64"/>
      </bottom>
      <diagonal/>
    </border>
    <border>
      <left/>
      <right style="thick">
        <color indexed="64"/>
      </right>
      <top style="thick">
        <color indexed="64"/>
      </top>
      <bottom/>
      <diagonal/>
    </border>
    <border>
      <left style="thick">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ck">
        <color indexed="64"/>
      </right>
      <top/>
      <bottom/>
      <diagonal/>
    </border>
    <border>
      <left style="thick">
        <color indexed="64"/>
      </left>
      <right/>
      <top/>
      <bottom/>
      <diagonal/>
    </border>
    <border>
      <left/>
      <right style="thick">
        <color indexed="64"/>
      </right>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3" fillId="0" borderId="0"/>
    <xf numFmtId="9" fontId="16" fillId="0" borderId="0" applyFont="0" applyFill="0" applyBorder="0" applyAlignment="0" applyProtection="0"/>
    <xf numFmtId="0" fontId="41" fillId="0" borderId="0" applyNumberFormat="0" applyFill="0" applyBorder="0" applyAlignment="0" applyProtection="0"/>
    <xf numFmtId="0" fontId="3" fillId="0" borderId="0" applyNumberFormat="0" applyFill="0" applyBorder="0" applyAlignment="0" applyProtection="0"/>
  </cellStyleXfs>
  <cellXfs count="632">
    <xf numFmtId="0" fontId="0" fillId="0" borderId="0" xfId="0"/>
    <xf numFmtId="0" fontId="1" fillId="0" borderId="0" xfId="0" applyFont="1"/>
    <xf numFmtId="2" fontId="0" fillId="0" borderId="0" xfId="0" applyNumberFormat="1"/>
    <xf numFmtId="0" fontId="5" fillId="0" borderId="0" xfId="1" applyFont="1"/>
    <xf numFmtId="0" fontId="5" fillId="0" borderId="0" xfId="1" applyFont="1" applyAlignment="1">
      <alignment horizontal="left"/>
    </xf>
    <xf numFmtId="0" fontId="5" fillId="0" borderId="0" xfId="1" applyFont="1" applyAlignment="1">
      <alignment vertical="center" wrapText="1"/>
    </xf>
    <xf numFmtId="0" fontId="6" fillId="7" borderId="20" xfId="1" applyFont="1" applyFill="1" applyBorder="1" applyAlignment="1">
      <alignment vertical="center" wrapText="1"/>
    </xf>
    <xf numFmtId="0" fontId="6" fillId="7" borderId="23" xfId="1" applyFont="1" applyFill="1" applyBorder="1" applyAlignment="1">
      <alignment vertical="center" wrapText="1"/>
    </xf>
    <xf numFmtId="0" fontId="5" fillId="7" borderId="30" xfId="1" applyFont="1" applyFill="1" applyBorder="1" applyAlignment="1">
      <alignment vertical="center"/>
    </xf>
    <xf numFmtId="0" fontId="7" fillId="0" borderId="0" xfId="0" applyFont="1"/>
    <xf numFmtId="0" fontId="6" fillId="7" borderId="22" xfId="1" applyFont="1" applyFill="1" applyBorder="1" applyAlignment="1">
      <alignment horizontal="center" vertical="center" wrapText="1"/>
    </xf>
    <xf numFmtId="0" fontId="5" fillId="0" borderId="0" xfId="1" applyFont="1" applyAlignment="1">
      <alignment horizontal="left" vertical="center" wrapText="1"/>
    </xf>
    <xf numFmtId="0" fontId="6" fillId="7" borderId="8" xfId="1" applyFont="1" applyFill="1" applyBorder="1" applyAlignment="1">
      <alignment horizontal="center" vertical="center" wrapText="1"/>
    </xf>
    <xf numFmtId="0" fontId="12" fillId="7" borderId="7" xfId="0" applyFont="1" applyFill="1" applyBorder="1" applyAlignment="1" applyProtection="1">
      <alignment horizontal="center"/>
      <protection locked="0"/>
    </xf>
    <xf numFmtId="2" fontId="12" fillId="0" borderId="7" xfId="0" applyNumberFormat="1" applyFont="1" applyBorder="1" applyAlignment="1">
      <alignment horizontal="center"/>
    </xf>
    <xf numFmtId="0" fontId="12" fillId="10" borderId="0" xfId="0" applyFont="1" applyFill="1"/>
    <xf numFmtId="0" fontId="12" fillId="10" borderId="22" xfId="0" applyFont="1" applyFill="1" applyBorder="1"/>
    <xf numFmtId="0" fontId="12" fillId="10" borderId="37" xfId="0" applyFont="1" applyFill="1" applyBorder="1"/>
    <xf numFmtId="0" fontId="12" fillId="10" borderId="40" xfId="0" applyFont="1" applyFill="1" applyBorder="1"/>
    <xf numFmtId="0" fontId="12" fillId="10" borderId="7" xfId="0" applyFont="1" applyFill="1" applyBorder="1" applyAlignment="1">
      <alignment horizontal="left"/>
    </xf>
    <xf numFmtId="0" fontId="12" fillId="11" borderId="7" xfId="0" applyFont="1" applyFill="1" applyBorder="1" applyAlignment="1">
      <alignment horizontal="left"/>
    </xf>
    <xf numFmtId="0" fontId="0" fillId="0" borderId="41" xfId="0" applyBorder="1"/>
    <xf numFmtId="0" fontId="12" fillId="0" borderId="0" xfId="0" applyFont="1"/>
    <xf numFmtId="0" fontId="12" fillId="0" borderId="0" xfId="0" applyFont="1" applyAlignment="1">
      <alignment vertical="center"/>
    </xf>
    <xf numFmtId="0" fontId="12" fillId="0" borderId="0" xfId="0" applyFont="1" applyAlignment="1">
      <alignment horizontal="left" vertical="center"/>
    </xf>
    <xf numFmtId="0" fontId="9" fillId="0" borderId="0" xfId="0" applyFont="1" applyAlignment="1">
      <alignment vertical="center"/>
    </xf>
    <xf numFmtId="0" fontId="15" fillId="0" borderId="0" xfId="0" applyFont="1"/>
    <xf numFmtId="2" fontId="15" fillId="0" borderId="7" xfId="0" applyNumberFormat="1" applyFont="1" applyBorder="1" applyAlignment="1">
      <alignment horizontal="center" vertical="center"/>
    </xf>
    <xf numFmtId="0" fontId="11" fillId="0" borderId="10" xfId="0" applyFont="1" applyBorder="1"/>
    <xf numFmtId="2" fontId="12" fillId="12" borderId="7" xfId="0" applyNumberFormat="1" applyFont="1" applyFill="1" applyBorder="1" applyAlignment="1">
      <alignment horizontal="center"/>
    </xf>
    <xf numFmtId="2" fontId="15" fillId="12" borderId="7" xfId="0" applyNumberFormat="1" applyFont="1" applyFill="1" applyBorder="1" applyAlignment="1">
      <alignment horizontal="center" vertical="center"/>
    </xf>
    <xf numFmtId="0" fontId="0" fillId="0" borderId="0" xfId="0" applyAlignment="1">
      <alignment horizont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3" fillId="0" borderId="7" xfId="0" applyFont="1" applyBorder="1" applyAlignment="1">
      <alignment horizontal="center"/>
    </xf>
    <xf numFmtId="0" fontId="4" fillId="13" borderId="15" xfId="1" applyFont="1" applyFill="1" applyBorder="1" applyAlignment="1">
      <alignment horizontal="center" vertical="center" wrapText="1"/>
    </xf>
    <xf numFmtId="0" fontId="0" fillId="0" borderId="0" xfId="0" applyAlignment="1">
      <alignment horizontal="left"/>
    </xf>
    <xf numFmtId="0" fontId="0" fillId="0" borderId="42" xfId="0" applyBorder="1"/>
    <xf numFmtId="0" fontId="0" fillId="0" borderId="4" xfId="0" applyBorder="1"/>
    <xf numFmtId="0" fontId="0" fillId="0" borderId="5" xfId="0" applyBorder="1"/>
    <xf numFmtId="0" fontId="0" fillId="0" borderId="6" xfId="0" applyBorder="1"/>
    <xf numFmtId="0" fontId="12" fillId="0" borderId="7" xfId="0" applyFont="1" applyBorder="1" applyAlignment="1">
      <alignment vertical="center"/>
    </xf>
    <xf numFmtId="0" fontId="18" fillId="0" borderId="0" xfId="0" applyFont="1"/>
    <xf numFmtId="0" fontId="17" fillId="0" borderId="0" xfId="0" applyFont="1"/>
    <xf numFmtId="0" fontId="20" fillId="7" borderId="7" xfId="0" applyFont="1" applyFill="1" applyBorder="1" applyAlignment="1" applyProtection="1">
      <alignment horizontal="center"/>
      <protection locked="0"/>
    </xf>
    <xf numFmtId="0" fontId="20" fillId="13" borderId="7" xfId="0" applyFont="1" applyFill="1" applyBorder="1" applyAlignment="1" applyProtection="1">
      <alignment horizontal="center"/>
      <protection locked="0"/>
    </xf>
    <xf numFmtId="0" fontId="19" fillId="0" borderId="0" xfId="0" applyFont="1" applyAlignment="1">
      <alignment horizontal="center"/>
    </xf>
    <xf numFmtId="0" fontId="19" fillId="0" borderId="0" xfId="0" applyFont="1"/>
    <xf numFmtId="1" fontId="19" fillId="0" borderId="37" xfId="0" applyNumberFormat="1" applyFont="1" applyBorder="1" applyAlignment="1">
      <alignment horizontal="center"/>
    </xf>
    <xf numFmtId="1" fontId="19" fillId="0" borderId="36" xfId="0" applyNumberFormat="1" applyFont="1" applyBorder="1" applyAlignment="1">
      <alignment horizontal="center"/>
    </xf>
    <xf numFmtId="0" fontId="19" fillId="0" borderId="38" xfId="0" applyFont="1" applyBorder="1" applyAlignment="1">
      <alignment horizontal="center"/>
    </xf>
    <xf numFmtId="0" fontId="20" fillId="0" borderId="0" xfId="0" applyFont="1"/>
    <xf numFmtId="2" fontId="20" fillId="0" borderId="7" xfId="2" applyNumberFormat="1" applyFont="1" applyBorder="1" applyAlignment="1">
      <alignment horizontal="center"/>
    </xf>
    <xf numFmtId="0" fontId="20" fillId="0" borderId="7" xfId="0" applyFont="1" applyBorder="1" applyAlignment="1">
      <alignment horizontal="center"/>
    </xf>
    <xf numFmtId="1" fontId="20" fillId="0" borderId="7" xfId="0" applyNumberFormat="1" applyFont="1" applyBorder="1" applyAlignment="1">
      <alignment horizontal="center"/>
    </xf>
    <xf numFmtId="0" fontId="20" fillId="0" borderId="0" xfId="0" applyFont="1" applyAlignment="1">
      <alignment horizontal="left"/>
    </xf>
    <xf numFmtId="9" fontId="20" fillId="0" borderId="7" xfId="2" applyFont="1" applyBorder="1" applyAlignment="1">
      <alignment horizontal="center"/>
    </xf>
    <xf numFmtId="0" fontId="22" fillId="0" borderId="0" xfId="0" applyFont="1"/>
    <xf numFmtId="0" fontId="19" fillId="0" borderId="0" xfId="0" applyFont="1" applyAlignment="1">
      <alignment horizontal="center" vertical="center"/>
    </xf>
    <xf numFmtId="0" fontId="23" fillId="0" borderId="0" xfId="0" applyFont="1" applyAlignment="1">
      <alignment horizontal="center" vertical="center" wrapText="1"/>
    </xf>
    <xf numFmtId="2" fontId="20" fillId="0" borderId="7" xfId="0" applyNumberFormat="1" applyFont="1" applyBorder="1" applyAlignment="1">
      <alignment horizontal="center"/>
    </xf>
    <xf numFmtId="2" fontId="20" fillId="0" borderId="0" xfId="0" applyNumberFormat="1" applyFont="1" applyAlignment="1">
      <alignment horizontal="center"/>
    </xf>
    <xf numFmtId="0" fontId="20" fillId="9" borderId="7" xfId="0" applyFont="1" applyFill="1" applyBorder="1" applyAlignment="1">
      <alignment horizontal="left"/>
    </xf>
    <xf numFmtId="0" fontId="20" fillId="10" borderId="7" xfId="0" applyFont="1" applyFill="1" applyBorder="1" applyAlignment="1">
      <alignment horizontal="left"/>
    </xf>
    <xf numFmtId="0" fontId="20" fillId="5" borderId="7" xfId="0" applyFont="1" applyFill="1" applyBorder="1" applyAlignment="1">
      <alignment horizontal="left"/>
    </xf>
    <xf numFmtId="0" fontId="18" fillId="0" borderId="0" xfId="0" applyFont="1" applyAlignment="1">
      <alignment horizontal="center"/>
    </xf>
    <xf numFmtId="0" fontId="20" fillId="11" borderId="7" xfId="0" applyFont="1" applyFill="1" applyBorder="1" applyAlignment="1">
      <alignment horizontal="left"/>
    </xf>
    <xf numFmtId="0" fontId="20" fillId="0" borderId="0" xfId="0" applyFont="1" applyAlignment="1">
      <alignment horizontal="left" vertical="center"/>
    </xf>
    <xf numFmtId="0" fontId="23" fillId="0" borderId="7" xfId="0" applyFont="1" applyBorder="1" applyAlignment="1">
      <alignment horizontal="center"/>
    </xf>
    <xf numFmtId="0" fontId="23" fillId="0" borderId="12" xfId="0" applyFont="1" applyBorder="1" applyAlignment="1">
      <alignment horizontal="center"/>
    </xf>
    <xf numFmtId="0" fontId="20" fillId="7" borderId="39" xfId="0" applyFont="1" applyFill="1" applyBorder="1" applyAlignment="1" applyProtection="1">
      <alignment horizontal="center"/>
      <protection locked="0"/>
    </xf>
    <xf numFmtId="2" fontId="18" fillId="0" borderId="0" xfId="0" applyNumberFormat="1" applyFont="1"/>
    <xf numFmtId="0" fontId="20" fillId="7" borderId="8" xfId="0" applyFont="1" applyFill="1" applyBorder="1" applyAlignment="1" applyProtection="1">
      <alignment horizontal="center"/>
      <protection locked="0"/>
    </xf>
    <xf numFmtId="0" fontId="20" fillId="7" borderId="9" xfId="0" applyFont="1" applyFill="1" applyBorder="1" applyAlignment="1" applyProtection="1">
      <alignment horizontal="center"/>
      <protection locked="0"/>
    </xf>
    <xf numFmtId="0" fontId="20" fillId="9" borderId="0" xfId="0" applyFont="1" applyFill="1"/>
    <xf numFmtId="0" fontId="20" fillId="9" borderId="36" xfId="0" applyFont="1" applyFill="1" applyBorder="1"/>
    <xf numFmtId="0" fontId="20" fillId="9" borderId="36" xfId="0" applyFont="1" applyFill="1" applyBorder="1" applyAlignment="1">
      <alignment horizontal="center"/>
    </xf>
    <xf numFmtId="0" fontId="20" fillId="10" borderId="40" xfId="0" applyFont="1" applyFill="1" applyBorder="1"/>
    <xf numFmtId="2" fontId="20" fillId="10" borderId="40" xfId="0" applyNumberFormat="1" applyFont="1" applyFill="1" applyBorder="1" applyAlignment="1">
      <alignment horizontal="center"/>
    </xf>
    <xf numFmtId="0" fontId="20" fillId="10" borderId="36" xfId="0" applyFont="1" applyFill="1" applyBorder="1"/>
    <xf numFmtId="0" fontId="20" fillId="10" borderId="0" xfId="0" applyFont="1" applyFill="1"/>
    <xf numFmtId="0" fontId="20" fillId="7" borderId="32" xfId="0" applyFont="1" applyFill="1" applyBorder="1" applyAlignment="1" applyProtection="1">
      <alignment horizontal="center"/>
      <protection locked="0"/>
    </xf>
    <xf numFmtId="2" fontId="20" fillId="10" borderId="7" xfId="0" applyNumberFormat="1" applyFont="1" applyFill="1" applyBorder="1" applyAlignment="1">
      <alignment horizontal="center"/>
    </xf>
    <xf numFmtId="0" fontId="20" fillId="7" borderId="22" xfId="0" applyFont="1" applyFill="1" applyBorder="1" applyAlignment="1" applyProtection="1">
      <alignment horizontal="center"/>
      <protection locked="0"/>
    </xf>
    <xf numFmtId="2" fontId="27" fillId="10" borderId="8" xfId="0" applyNumberFormat="1" applyFont="1" applyFill="1" applyBorder="1" applyAlignment="1">
      <alignment horizontal="center" vertical="center"/>
    </xf>
    <xf numFmtId="2" fontId="20" fillId="10" borderId="39" xfId="0" applyNumberFormat="1" applyFont="1" applyFill="1" applyBorder="1" applyAlignment="1">
      <alignment horizontal="center"/>
    </xf>
    <xf numFmtId="0" fontId="20" fillId="7" borderId="37" xfId="0" applyFont="1" applyFill="1" applyBorder="1" applyAlignment="1" applyProtection="1">
      <alignment horizontal="center"/>
      <protection locked="0"/>
    </xf>
    <xf numFmtId="0" fontId="20" fillId="10" borderId="9" xfId="0" applyFont="1" applyFill="1" applyBorder="1" applyAlignment="1">
      <alignment horizontal="left" vertical="center"/>
    </xf>
    <xf numFmtId="0" fontId="20" fillId="11" borderId="40" xfId="0" applyFont="1" applyFill="1" applyBorder="1"/>
    <xf numFmtId="2" fontId="20" fillId="11" borderId="9" xfId="0" applyNumberFormat="1" applyFont="1" applyFill="1" applyBorder="1" applyAlignment="1">
      <alignment horizontal="center"/>
    </xf>
    <xf numFmtId="0" fontId="28" fillId="0" borderId="0" xfId="0" applyFont="1"/>
    <xf numFmtId="0" fontId="28" fillId="0" borderId="0" xfId="0" applyFont="1" applyAlignment="1">
      <alignment vertical="center" wrapText="1"/>
    </xf>
    <xf numFmtId="0" fontId="30" fillId="0" borderId="0" xfId="0" applyFont="1"/>
    <xf numFmtId="0" fontId="28" fillId="0" borderId="1" xfId="0" applyFont="1" applyBorder="1" applyAlignment="1">
      <alignment vertical="center" wrapText="1"/>
    </xf>
    <xf numFmtId="0" fontId="28" fillId="0" borderId="2" xfId="0" applyFont="1" applyBorder="1"/>
    <xf numFmtId="0" fontId="28" fillId="0" borderId="3" xfId="0" applyFont="1" applyBorder="1"/>
    <xf numFmtId="0" fontId="28" fillId="0" borderId="41" xfId="0" applyFont="1" applyBorder="1"/>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4" xfId="0" applyFont="1" applyBorder="1" applyAlignment="1">
      <alignment vertical="center" wrapText="1"/>
    </xf>
    <xf numFmtId="0" fontId="28" fillId="2" borderId="5" xfId="0" applyFont="1" applyFill="1" applyBorder="1" applyAlignment="1">
      <alignment vertical="center" wrapText="1"/>
    </xf>
    <xf numFmtId="0" fontId="28" fillId="3" borderId="5" xfId="0" applyFont="1" applyFill="1" applyBorder="1" applyAlignment="1">
      <alignment vertical="center" wrapText="1"/>
    </xf>
    <xf numFmtId="0" fontId="28" fillId="3" borderId="5" xfId="0" applyFont="1" applyFill="1" applyBorder="1"/>
    <xf numFmtId="0" fontId="28" fillId="4" borderId="5" xfId="0" applyFont="1" applyFill="1" applyBorder="1" applyAlignment="1">
      <alignment vertical="center" wrapText="1"/>
    </xf>
    <xf numFmtId="0" fontId="28" fillId="4" borderId="6" xfId="0" applyFont="1" applyFill="1" applyBorder="1" applyAlignment="1">
      <alignment vertical="center" wrapText="1"/>
    </xf>
    <xf numFmtId="0" fontId="28" fillId="0" borderId="0" xfId="0" applyFont="1" applyAlignment="1">
      <alignment horizontal="center"/>
    </xf>
    <xf numFmtId="2" fontId="28" fillId="0" borderId="0" xfId="0" applyNumberFormat="1" applyFont="1"/>
    <xf numFmtId="0" fontId="31" fillId="0" borderId="0" xfId="0" applyFont="1"/>
    <xf numFmtId="0" fontId="28" fillId="0" borderId="0" xfId="0" applyFont="1" applyAlignment="1">
      <alignment vertical="center"/>
    </xf>
    <xf numFmtId="166" fontId="31" fillId="0" borderId="0" xfId="0" applyNumberFormat="1" applyFont="1"/>
    <xf numFmtId="0" fontId="28" fillId="0" borderId="0" xfId="0" applyFont="1" applyAlignment="1">
      <alignment horizontal="left"/>
    </xf>
    <xf numFmtId="165" fontId="28" fillId="0" borderId="0" xfId="0" applyNumberFormat="1" applyFont="1"/>
    <xf numFmtId="0" fontId="28" fillId="0" borderId="1" xfId="0" applyFont="1" applyBorder="1" applyAlignment="1">
      <alignment horizontal="left" vertical="center" wrapText="1"/>
    </xf>
    <xf numFmtId="0" fontId="32" fillId="0" borderId="0" xfId="0" quotePrefix="1" applyFont="1" applyAlignment="1">
      <alignment wrapText="1"/>
    </xf>
    <xf numFmtId="0" fontId="32" fillId="0" borderId="0" xfId="0" applyFont="1" applyAlignment="1">
      <alignment wrapText="1"/>
    </xf>
    <xf numFmtId="0" fontId="28" fillId="0" borderId="1" xfId="0" applyFont="1" applyBorder="1"/>
    <xf numFmtId="0" fontId="28" fillId="0" borderId="42" xfId="0" applyFont="1" applyBorder="1" applyAlignment="1">
      <alignment vertical="center" wrapText="1"/>
    </xf>
    <xf numFmtId="1" fontId="28" fillId="0" borderId="2" xfId="0" applyNumberFormat="1" applyFont="1" applyBorder="1" applyAlignment="1">
      <alignment vertical="center" wrapText="1"/>
    </xf>
    <xf numFmtId="0" fontId="28" fillId="0" borderId="0" xfId="0" applyFont="1" applyAlignment="1">
      <alignment horizontal="left" vertical="center"/>
    </xf>
    <xf numFmtId="0" fontId="28" fillId="2" borderId="5" xfId="0" applyFont="1" applyFill="1" applyBorder="1" applyAlignment="1">
      <alignment horizontal="right" vertical="center" wrapText="1"/>
    </xf>
    <xf numFmtId="0" fontId="28" fillId="3" borderId="5" xfId="0" applyFont="1" applyFill="1" applyBorder="1" applyAlignment="1">
      <alignment horizontal="right" vertical="center" wrapText="1"/>
    </xf>
    <xf numFmtId="0" fontId="28" fillId="4" borderId="5" xfId="0" applyFont="1" applyFill="1" applyBorder="1" applyAlignment="1">
      <alignment horizontal="right" vertical="center" wrapText="1"/>
    </xf>
    <xf numFmtId="0" fontId="28" fillId="4" borderId="6" xfId="0" applyFont="1" applyFill="1" applyBorder="1" applyAlignment="1">
      <alignment horizontal="right" vertical="center" wrapText="1"/>
    </xf>
    <xf numFmtId="0" fontId="28" fillId="0" borderId="0" xfId="0" applyFont="1" applyAlignment="1">
      <alignment wrapText="1"/>
    </xf>
    <xf numFmtId="0" fontId="33" fillId="0" borderId="0" xfId="0" applyFont="1"/>
    <xf numFmtId="2" fontId="28" fillId="3" borderId="5" xfId="0" applyNumberFormat="1" applyFont="1" applyFill="1" applyBorder="1" applyAlignment="1">
      <alignment vertical="center" wrapText="1"/>
    </xf>
    <xf numFmtId="167" fontId="28" fillId="0" borderId="0" xfId="0" applyNumberFormat="1" applyFont="1"/>
    <xf numFmtId="164" fontId="28" fillId="0" borderId="2" xfId="0" applyNumberFormat="1" applyFont="1" applyBorder="1" applyAlignment="1">
      <alignment vertical="center" wrapText="1"/>
    </xf>
    <xf numFmtId="164" fontId="28" fillId="0" borderId="3" xfId="0" applyNumberFormat="1" applyFont="1" applyBorder="1" applyAlignment="1">
      <alignment vertical="center" wrapText="1"/>
    </xf>
    <xf numFmtId="164" fontId="28" fillId="0" borderId="0" xfId="0" applyNumberFormat="1" applyFont="1" applyAlignment="1">
      <alignment vertical="center" wrapText="1"/>
    </xf>
    <xf numFmtId="0" fontId="28" fillId="0" borderId="0" xfId="0" applyFont="1" applyAlignment="1">
      <alignment horizontal="right"/>
    </xf>
    <xf numFmtId="0" fontId="28" fillId="4" borderId="6" xfId="0" applyFont="1" applyFill="1" applyBorder="1"/>
    <xf numFmtId="1" fontId="28" fillId="0" borderId="3" xfId="0" applyNumberFormat="1" applyFont="1" applyBorder="1" applyAlignment="1">
      <alignment vertical="center" wrapText="1"/>
    </xf>
    <xf numFmtId="1" fontId="28" fillId="0" borderId="42" xfId="0" applyNumberFormat="1" applyFont="1" applyBorder="1" applyAlignment="1">
      <alignment vertical="center" wrapText="1"/>
    </xf>
    <xf numFmtId="1" fontId="28" fillId="0" borderId="0" xfId="0" applyNumberFormat="1" applyFont="1" applyAlignment="1">
      <alignment vertical="center" wrapText="1"/>
    </xf>
    <xf numFmtId="0" fontId="0" fillId="0" borderId="1" xfId="0" applyBorder="1" applyAlignment="1">
      <alignment vertical="center" wrapText="1"/>
    </xf>
    <xf numFmtId="0" fontId="0" fillId="0" borderId="2" xfId="0" applyBorder="1"/>
    <xf numFmtId="0" fontId="20" fillId="0" borderId="4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vertical="center" wrapText="1"/>
    </xf>
    <xf numFmtId="0" fontId="31" fillId="0" borderId="2" xfId="0" applyFont="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2" xfId="0" applyFont="1" applyBorder="1" applyAlignment="1">
      <alignment horizontal="center" vertical="center" wrapText="1"/>
    </xf>
    <xf numFmtId="0" fontId="26" fillId="10" borderId="36" xfId="0" applyFont="1" applyFill="1" applyBorder="1"/>
    <xf numFmtId="0" fontId="12" fillId="10" borderId="32" xfId="0" applyFont="1" applyFill="1" applyBorder="1"/>
    <xf numFmtId="0" fontId="32" fillId="0" borderId="2" xfId="0" applyFont="1" applyBorder="1" applyAlignment="1">
      <alignment horizontal="right" vertical="center"/>
    </xf>
    <xf numFmtId="0" fontId="28" fillId="0" borderId="3" xfId="0" applyFont="1" applyBorder="1" applyAlignment="1">
      <alignment horizontal="right"/>
    </xf>
    <xf numFmtId="0" fontId="32" fillId="0" borderId="0" xfId="0" applyFont="1" applyAlignment="1">
      <alignment horizontal="right" vertical="center"/>
    </xf>
    <xf numFmtId="0" fontId="28" fillId="0" borderId="42" xfId="0" applyFont="1" applyBorder="1" applyAlignment="1">
      <alignment horizontal="right"/>
    </xf>
    <xf numFmtId="0" fontId="28" fillId="0" borderId="2" xfId="0" applyFont="1" applyBorder="1" applyAlignment="1">
      <alignment vertical="center"/>
    </xf>
    <xf numFmtId="0" fontId="28" fillId="0" borderId="3" xfId="0" applyFont="1" applyBorder="1" applyAlignment="1">
      <alignment vertical="center"/>
    </xf>
    <xf numFmtId="0" fontId="21" fillId="0" borderId="0" xfId="0" applyFont="1"/>
    <xf numFmtId="2" fontId="20" fillId="0" borderId="7" xfId="0" applyNumberFormat="1" applyFont="1" applyBorder="1" applyAlignment="1">
      <alignment horizontal="center" vertical="center"/>
    </xf>
    <xf numFmtId="0" fontId="13" fillId="0" borderId="10" xfId="0" applyFont="1" applyBorder="1"/>
    <xf numFmtId="0" fontId="13" fillId="0" borderId="12" xfId="0" applyFont="1" applyBorder="1"/>
    <xf numFmtId="0" fontId="1" fillId="0" borderId="44" xfId="0" applyFont="1" applyBorder="1"/>
    <xf numFmtId="0" fontId="20" fillId="10" borderId="7" xfId="0" applyFont="1" applyFill="1" applyBorder="1" applyAlignment="1">
      <alignment horizontal="center"/>
    </xf>
    <xf numFmtId="0" fontId="6" fillId="0" borderId="0" xfId="1" applyFont="1" applyAlignment="1">
      <alignment vertical="center"/>
    </xf>
    <xf numFmtId="2" fontId="20" fillId="10" borderId="21" xfId="0" applyNumberFormat="1" applyFont="1" applyFill="1" applyBorder="1" applyAlignment="1">
      <alignment horizontal="center"/>
    </xf>
    <xf numFmtId="2" fontId="20" fillId="10" borderId="33" xfId="0" applyNumberFormat="1" applyFont="1" applyFill="1" applyBorder="1" applyAlignment="1">
      <alignment horizontal="center"/>
    </xf>
    <xf numFmtId="2" fontId="20" fillId="10" borderId="38" xfId="0" applyNumberFormat="1" applyFont="1" applyFill="1" applyBorder="1" applyAlignment="1">
      <alignment horizontal="center"/>
    </xf>
    <xf numFmtId="2" fontId="9" fillId="12" borderId="7" xfId="0" applyNumberFormat="1" applyFont="1" applyFill="1" applyBorder="1" applyAlignment="1">
      <alignment horizontal="center"/>
    </xf>
    <xf numFmtId="164" fontId="9" fillId="12" borderId="7" xfId="0" applyNumberFormat="1" applyFont="1" applyFill="1" applyBorder="1" applyAlignment="1">
      <alignment horizontal="center"/>
    </xf>
    <xf numFmtId="164" fontId="9" fillId="12" borderId="7" xfId="0" applyNumberFormat="1" applyFont="1" applyFill="1" applyBorder="1" applyAlignment="1">
      <alignment horizontal="center" vertical="center"/>
    </xf>
    <xf numFmtId="164" fontId="9" fillId="0" borderId="7" xfId="0" applyNumberFormat="1" applyFont="1" applyBorder="1" applyAlignment="1">
      <alignment horizontal="center" vertical="center"/>
    </xf>
    <xf numFmtId="0" fontId="11" fillId="7" borderId="11" xfId="0" applyFont="1" applyFill="1" applyBorder="1" applyAlignment="1" applyProtection="1">
      <alignment horizontal="center"/>
      <protection locked="0"/>
    </xf>
    <xf numFmtId="0" fontId="8" fillId="13" borderId="7" xfId="0" applyFont="1" applyFill="1" applyBorder="1"/>
    <xf numFmtId="0" fontId="11" fillId="0" borderId="11" xfId="0" applyFont="1" applyBorder="1" applyAlignment="1">
      <alignment horizontal="right"/>
    </xf>
    <xf numFmtId="0" fontId="20" fillId="10" borderId="33" xfId="0" applyFont="1" applyFill="1" applyBorder="1"/>
    <xf numFmtId="2" fontId="20" fillId="10" borderId="9" xfId="0" applyNumberFormat="1" applyFont="1" applyFill="1" applyBorder="1" applyAlignment="1">
      <alignment horizontal="center" vertical="center"/>
    </xf>
    <xf numFmtId="2" fontId="20" fillId="10" borderId="39" xfId="0" applyNumberFormat="1" applyFont="1" applyFill="1" applyBorder="1" applyAlignment="1">
      <alignment horizontal="center" vertical="center"/>
    </xf>
    <xf numFmtId="2" fontId="20" fillId="10" borderId="8" xfId="0" applyNumberFormat="1" applyFont="1" applyFill="1" applyBorder="1" applyAlignment="1">
      <alignment horizontal="center"/>
    </xf>
    <xf numFmtId="0" fontId="26" fillId="10" borderId="0" xfId="0" applyFont="1" applyFill="1"/>
    <xf numFmtId="0" fontId="26" fillId="10" borderId="33" xfId="0" applyFont="1" applyFill="1" applyBorder="1"/>
    <xf numFmtId="0" fontId="26" fillId="10" borderId="38" xfId="0" applyFont="1" applyFill="1" applyBorder="1"/>
    <xf numFmtId="0" fontId="14" fillId="10" borderId="36" xfId="0" applyFont="1" applyFill="1" applyBorder="1"/>
    <xf numFmtId="0" fontId="20" fillId="7" borderId="0" xfId="0" applyFont="1" applyFill="1" applyAlignment="1" applyProtection="1">
      <alignment horizontal="center"/>
      <protection locked="0"/>
    </xf>
    <xf numFmtId="0" fontId="20" fillId="7" borderId="36" xfId="0" applyFont="1" applyFill="1" applyBorder="1" applyAlignment="1" applyProtection="1">
      <alignment horizontal="center"/>
      <protection locked="0"/>
    </xf>
    <xf numFmtId="0" fontId="20" fillId="10" borderId="21" xfId="0" applyFont="1" applyFill="1" applyBorder="1"/>
    <xf numFmtId="0" fontId="20" fillId="7" borderId="40" xfId="0" applyFont="1" applyFill="1" applyBorder="1" applyAlignment="1" applyProtection="1">
      <alignment horizontal="center"/>
      <protection locked="0"/>
    </xf>
    <xf numFmtId="2" fontId="20" fillId="10" borderId="37" xfId="0" applyNumberFormat="1" applyFont="1" applyFill="1" applyBorder="1" applyAlignment="1">
      <alignment horizontal="center"/>
    </xf>
    <xf numFmtId="0" fontId="20" fillId="9" borderId="37" xfId="0" applyFont="1" applyFill="1" applyBorder="1"/>
    <xf numFmtId="0" fontId="20" fillId="10" borderId="22" xfId="0" applyFont="1" applyFill="1" applyBorder="1"/>
    <xf numFmtId="0" fontId="20" fillId="10" borderId="32" xfId="0" applyFont="1" applyFill="1" applyBorder="1"/>
    <xf numFmtId="0" fontId="26" fillId="10" borderId="32" xfId="0" applyFont="1" applyFill="1" applyBorder="1"/>
    <xf numFmtId="0" fontId="14" fillId="10" borderId="37" xfId="0" applyFont="1" applyFill="1" applyBorder="1"/>
    <xf numFmtId="0" fontId="20" fillId="10" borderId="37" xfId="0" applyFont="1" applyFill="1" applyBorder="1"/>
    <xf numFmtId="0" fontId="0" fillId="0" borderId="1" xfId="0" applyBorder="1" applyAlignment="1">
      <alignment horizontal="left" vertical="center"/>
    </xf>
    <xf numFmtId="0" fontId="0" fillId="0" borderId="1" xfId="0" applyBorder="1" applyAlignment="1">
      <alignment vertical="center"/>
    </xf>
    <xf numFmtId="0" fontId="0" fillId="0" borderId="4" xfId="0" applyBorder="1" applyAlignment="1">
      <alignment vertical="center" wrapText="1"/>
    </xf>
    <xf numFmtId="0" fontId="20" fillId="0" borderId="7" xfId="0" applyFont="1" applyBorder="1" applyAlignment="1">
      <alignment vertical="center"/>
    </xf>
    <xf numFmtId="0" fontId="34" fillId="0" borderId="36" xfId="0" applyFont="1" applyBorder="1" applyAlignment="1">
      <alignment vertical="center" wrapText="1"/>
    </xf>
    <xf numFmtId="0" fontId="20" fillId="8" borderId="7" xfId="0" applyFont="1" applyFill="1" applyBorder="1" applyAlignment="1">
      <alignment horizontal="left"/>
    </xf>
    <xf numFmtId="0" fontId="12" fillId="8" borderId="22" xfId="0" applyFont="1" applyFill="1" applyBorder="1"/>
    <xf numFmtId="0" fontId="20" fillId="8" borderId="40" xfId="0" applyFont="1" applyFill="1" applyBorder="1"/>
    <xf numFmtId="0" fontId="20" fillId="8" borderId="0" xfId="0" applyFont="1" applyFill="1"/>
    <xf numFmtId="2" fontId="20" fillId="8" borderId="21" xfId="0" applyNumberFormat="1" applyFont="1" applyFill="1" applyBorder="1" applyAlignment="1">
      <alignment horizontal="center"/>
    </xf>
    <xf numFmtId="0" fontId="12" fillId="9" borderId="7" xfId="0" applyFont="1" applyFill="1" applyBorder="1" applyAlignment="1">
      <alignment horizontal="center" vertical="center" wrapText="1"/>
    </xf>
    <xf numFmtId="0" fontId="12" fillId="7" borderId="39" xfId="0" applyFont="1" applyFill="1" applyBorder="1" applyAlignment="1" applyProtection="1">
      <alignment horizontal="center"/>
      <protection locked="0"/>
    </xf>
    <xf numFmtId="0" fontId="12" fillId="7" borderId="33" xfId="0" applyFont="1" applyFill="1" applyBorder="1" applyAlignment="1" applyProtection="1">
      <alignment horizontal="center"/>
      <protection locked="0"/>
    </xf>
    <xf numFmtId="0" fontId="35" fillId="0" borderId="0" xfId="0" applyFont="1"/>
    <xf numFmtId="0" fontId="36" fillId="0" borderId="0" xfId="0" applyFont="1"/>
    <xf numFmtId="0" fontId="12" fillId="11" borderId="22" xfId="0" applyFont="1" applyFill="1" applyBorder="1"/>
    <xf numFmtId="0" fontId="12" fillId="11" borderId="22" xfId="0" applyFont="1" applyFill="1" applyBorder="1" applyAlignment="1">
      <alignment vertical="center"/>
    </xf>
    <xf numFmtId="2" fontId="20" fillId="11" borderId="7" xfId="0" applyNumberFormat="1" applyFont="1" applyFill="1" applyBorder="1" applyAlignment="1">
      <alignment horizontal="center"/>
    </xf>
    <xf numFmtId="0" fontId="20" fillId="11" borderId="10" xfId="0" applyFont="1" applyFill="1" applyBorder="1" applyAlignment="1">
      <alignment vertical="center"/>
    </xf>
    <xf numFmtId="0" fontId="12" fillId="11" borderId="10" xfId="0" applyFont="1" applyFill="1" applyBorder="1"/>
    <xf numFmtId="0" fontId="20" fillId="11" borderId="12" xfId="0" applyFont="1" applyFill="1" applyBorder="1"/>
    <xf numFmtId="0" fontId="20" fillId="10" borderId="38" xfId="0" applyFont="1" applyFill="1" applyBorder="1"/>
    <xf numFmtId="2" fontId="27" fillId="10" borderId="9" xfId="0" applyNumberFormat="1" applyFont="1" applyFill="1" applyBorder="1" applyAlignment="1">
      <alignment horizontal="center" vertical="center"/>
    </xf>
    <xf numFmtId="0" fontId="0" fillId="0" borderId="0" xfId="0" applyAlignment="1">
      <alignment horizontal="center"/>
    </xf>
    <xf numFmtId="0" fontId="38" fillId="0" borderId="0" xfId="1" applyFont="1"/>
    <xf numFmtId="0" fontId="3" fillId="0" borderId="0" xfId="1" applyFont="1" applyAlignment="1">
      <alignment vertical="center" wrapText="1"/>
    </xf>
    <xf numFmtId="0" fontId="3" fillId="0" borderId="0" xfId="1" applyFont="1" applyAlignment="1">
      <alignment wrapText="1"/>
    </xf>
    <xf numFmtId="0" fontId="3" fillId="0" borderId="0" xfId="1" applyFont="1"/>
    <xf numFmtId="0" fontId="38" fillId="5" borderId="0" xfId="1" applyFont="1" applyFill="1" applyAlignment="1">
      <alignment vertical="center"/>
    </xf>
    <xf numFmtId="0" fontId="3" fillId="0" borderId="0" xfId="1" applyFont="1" applyAlignment="1"/>
    <xf numFmtId="0" fontId="3" fillId="7" borderId="24" xfId="1" applyFont="1" applyFill="1" applyBorder="1"/>
    <xf numFmtId="0" fontId="3" fillId="0" borderId="13" xfId="1" applyFont="1" applyBorder="1" applyAlignment="1">
      <alignment horizontal="center" vertical="center" wrapText="1"/>
    </xf>
    <xf numFmtId="0" fontId="3" fillId="0" borderId="26" xfId="1" applyFont="1" applyBorder="1" applyAlignment="1">
      <alignment vertical="center" wrapText="1"/>
    </xf>
    <xf numFmtId="0" fontId="3" fillId="0" borderId="26" xfId="1" applyFont="1" applyBorder="1" applyAlignment="1">
      <alignment horizontal="center" vertical="center" wrapText="1"/>
    </xf>
    <xf numFmtId="0" fontId="3" fillId="0" borderId="27" xfId="1" applyFont="1" applyBorder="1" applyAlignment="1">
      <alignment horizontal="center" vertical="center" wrapText="1"/>
    </xf>
    <xf numFmtId="0" fontId="3" fillId="7" borderId="25" xfId="1" applyFont="1" applyFill="1" applyBorder="1"/>
    <xf numFmtId="0" fontId="3" fillId="15" borderId="13" xfId="1" applyFont="1" applyFill="1" applyBorder="1" applyAlignment="1">
      <alignment horizontal="center" vertical="center" wrapText="1"/>
    </xf>
    <xf numFmtId="0" fontId="3" fillId="15" borderId="26" xfId="1" applyFont="1" applyFill="1" applyBorder="1" applyAlignment="1">
      <alignment vertical="center" wrapText="1"/>
    </xf>
    <xf numFmtId="0" fontId="3" fillId="15" borderId="26" xfId="1" applyFont="1" applyFill="1" applyBorder="1" applyAlignment="1">
      <alignment horizontal="center" vertical="center" wrapText="1"/>
    </xf>
    <xf numFmtId="0" fontId="3" fillId="15" borderId="27" xfId="1" applyFont="1" applyFill="1" applyBorder="1" applyAlignment="1">
      <alignment horizontal="center" vertical="center" wrapText="1"/>
    </xf>
    <xf numFmtId="0" fontId="3" fillId="15" borderId="28" xfId="1" applyFont="1" applyFill="1" applyBorder="1" applyAlignment="1">
      <alignment horizontal="center" vertical="center" wrapText="1"/>
    </xf>
    <xf numFmtId="0" fontId="3" fillId="15" borderId="0" xfId="1" applyFont="1" applyFill="1" applyAlignment="1">
      <alignment vertical="center" wrapText="1"/>
    </xf>
    <xf numFmtId="0" fontId="3" fillId="0" borderId="34" xfId="1" applyFont="1" applyBorder="1" applyAlignment="1">
      <alignment horizontal="center" vertical="center" wrapText="1"/>
    </xf>
    <xf numFmtId="0" fontId="3" fillId="15" borderId="34" xfId="1" applyFont="1" applyFill="1" applyBorder="1" applyAlignment="1">
      <alignment horizontal="center" vertical="center" wrapText="1"/>
    </xf>
    <xf numFmtId="0" fontId="3" fillId="16" borderId="13" xfId="1" applyFont="1" applyFill="1" applyBorder="1" applyAlignment="1">
      <alignment horizontal="center" vertical="center" wrapText="1"/>
    </xf>
    <xf numFmtId="0" fontId="3" fillId="16" borderId="26" xfId="1" applyFont="1" applyFill="1" applyBorder="1" applyAlignment="1">
      <alignment vertical="center" wrapText="1"/>
    </xf>
    <xf numFmtId="0" fontId="3" fillId="16" borderId="26" xfId="1" applyFont="1" applyFill="1" applyBorder="1" applyAlignment="1">
      <alignment horizontal="center" vertical="center" wrapText="1"/>
    </xf>
    <xf numFmtId="0" fontId="3" fillId="16" borderId="28" xfId="1" applyFont="1" applyFill="1" applyBorder="1" applyAlignment="1">
      <alignment horizontal="center" vertical="center" wrapText="1"/>
    </xf>
    <xf numFmtId="0" fontId="3" fillId="15" borderId="4" xfId="1" applyFont="1" applyFill="1" applyBorder="1" applyAlignment="1">
      <alignment horizontal="center" vertical="center" wrapText="1"/>
    </xf>
    <xf numFmtId="0" fontId="3" fillId="15" borderId="43" xfId="1" applyFont="1" applyFill="1" applyBorder="1" applyAlignment="1">
      <alignment vertical="center" wrapText="1"/>
    </xf>
    <xf numFmtId="0" fontId="3" fillId="15" borderId="47" xfId="1" applyFont="1" applyFill="1" applyBorder="1" applyAlignment="1">
      <alignment horizontal="center" vertical="center" wrapText="1"/>
    </xf>
    <xf numFmtId="0" fontId="3" fillId="16" borderId="1" xfId="1" applyFont="1" applyFill="1" applyBorder="1" applyAlignment="1">
      <alignment horizontal="center" vertical="center" wrapText="1"/>
    </xf>
    <xf numFmtId="0" fontId="3" fillId="16" borderId="48" xfId="1" applyFont="1" applyFill="1" applyBorder="1" applyAlignment="1">
      <alignment vertical="center" wrapText="1"/>
    </xf>
    <xf numFmtId="0" fontId="3" fillId="16" borderId="48" xfId="1" applyFont="1" applyFill="1" applyBorder="1" applyAlignment="1">
      <alignment horizontal="center" vertical="center" wrapText="1"/>
    </xf>
    <xf numFmtId="0" fontId="3" fillId="16" borderId="49" xfId="1" applyFont="1" applyFill="1" applyBorder="1" applyAlignment="1">
      <alignment horizontal="center" vertical="center" wrapText="1"/>
    </xf>
    <xf numFmtId="0" fontId="3" fillId="16" borderId="35" xfId="1" applyFont="1" applyFill="1" applyBorder="1" applyAlignment="1">
      <alignment horizontal="center" vertical="center" wrapText="1"/>
    </xf>
    <xf numFmtId="0" fontId="3" fillId="15" borderId="50" xfId="1" applyFont="1" applyFill="1" applyBorder="1" applyAlignment="1">
      <alignment horizontal="center" vertical="center" wrapText="1"/>
    </xf>
    <xf numFmtId="0" fontId="3" fillId="16" borderId="4" xfId="1" applyFont="1" applyFill="1" applyBorder="1" applyAlignment="1">
      <alignment horizontal="center" vertical="center" wrapText="1"/>
    </xf>
    <xf numFmtId="0" fontId="3" fillId="16" borderId="43" xfId="1" applyFont="1" applyFill="1" applyBorder="1" applyAlignment="1">
      <alignment vertical="center" wrapText="1"/>
    </xf>
    <xf numFmtId="0" fontId="3" fillId="16" borderId="34" xfId="1" applyFont="1" applyFill="1" applyBorder="1" applyAlignment="1">
      <alignment horizontal="center" vertical="center" wrapText="1"/>
    </xf>
    <xf numFmtId="0" fontId="3" fillId="16" borderId="27" xfId="1" applyFont="1" applyFill="1" applyBorder="1" applyAlignment="1">
      <alignment horizontal="center" vertical="center" wrapText="1"/>
    </xf>
    <xf numFmtId="0" fontId="3" fillId="15" borderId="43" xfId="1" applyFont="1" applyFill="1" applyBorder="1" applyAlignment="1">
      <alignment horizontal="center" vertical="center" wrapText="1"/>
    </xf>
    <xf numFmtId="0" fontId="3" fillId="7" borderId="29" xfId="1" applyFont="1" applyFill="1" applyBorder="1"/>
    <xf numFmtId="0" fontId="3" fillId="7" borderId="30" xfId="1" applyFont="1" applyFill="1" applyBorder="1"/>
    <xf numFmtId="0" fontId="3" fillId="7" borderId="31" xfId="1" applyFont="1" applyFill="1" applyBorder="1"/>
    <xf numFmtId="0" fontId="0" fillId="0" borderId="0" xfId="0" applyAlignment="1">
      <alignment horizontal="center"/>
    </xf>
    <xf numFmtId="0" fontId="0" fillId="0" borderId="0" xfId="0" applyFont="1"/>
    <xf numFmtId="164" fontId="0" fillId="0" borderId="2" xfId="0" applyNumberFormat="1" applyBorder="1" applyAlignment="1">
      <alignment vertical="center" wrapText="1"/>
    </xf>
    <xf numFmtId="0" fontId="0" fillId="0" borderId="2" xfId="0" applyBorder="1" applyAlignment="1">
      <alignment vertical="center" wrapText="1"/>
    </xf>
    <xf numFmtId="0" fontId="0" fillId="0" borderId="0" xfId="0" applyAlignment="1">
      <alignment horizontal="center"/>
    </xf>
    <xf numFmtId="0" fontId="28" fillId="0" borderId="0" xfId="0" applyFont="1" applyAlignment="1">
      <alignment horizontal="center"/>
    </xf>
    <xf numFmtId="0" fontId="28" fillId="0" borderId="0" xfId="0" applyFont="1" applyAlignment="1">
      <alignment horizontal="center"/>
    </xf>
    <xf numFmtId="164" fontId="28" fillId="0" borderId="42" xfId="0" applyNumberFormat="1" applyFont="1" applyBorder="1" applyAlignment="1">
      <alignment vertical="center" wrapText="1"/>
    </xf>
    <xf numFmtId="164" fontId="0" fillId="0" borderId="3" xfId="0" applyNumberFormat="1" applyBorder="1" applyAlignment="1">
      <alignment vertical="center" wrapText="1"/>
    </xf>
    <xf numFmtId="0" fontId="12" fillId="8" borderId="32" xfId="0" applyFont="1" applyFill="1" applyBorder="1"/>
    <xf numFmtId="2" fontId="20" fillId="8" borderId="33" xfId="0" applyNumberFormat="1" applyFont="1" applyFill="1" applyBorder="1" applyAlignment="1">
      <alignment horizontal="center"/>
    </xf>
    <xf numFmtId="0" fontId="0" fillId="0" borderId="0" xfId="0" applyFont="1" applyAlignment="1">
      <alignment horizontal="center"/>
    </xf>
    <xf numFmtId="2" fontId="12" fillId="8" borderId="33" xfId="0" applyNumberFormat="1" applyFont="1" applyFill="1" applyBorder="1" applyAlignment="1">
      <alignment horizontal="center"/>
    </xf>
    <xf numFmtId="0" fontId="12" fillId="8" borderId="8" xfId="0" applyFont="1" applyFill="1" applyBorder="1" applyAlignment="1">
      <alignment horizontal="center" vertical="center" wrapText="1"/>
    </xf>
    <xf numFmtId="0" fontId="0" fillId="0" borderId="0" xfId="0" applyAlignment="1">
      <alignment horizontal="center"/>
    </xf>
    <xf numFmtId="0" fontId="28" fillId="0" borderId="0" xfId="0" applyFont="1" applyAlignment="1">
      <alignment horizontal="center"/>
    </xf>
    <xf numFmtId="0" fontId="20" fillId="9" borderId="22" xfId="0" applyFont="1" applyFill="1" applyBorder="1"/>
    <xf numFmtId="0" fontId="20" fillId="9" borderId="21" xfId="0" applyFont="1" applyFill="1" applyBorder="1"/>
    <xf numFmtId="0" fontId="20" fillId="9" borderId="38" xfId="0" applyFont="1" applyFill="1" applyBorder="1"/>
    <xf numFmtId="2" fontId="20" fillId="9" borderId="8" xfId="0" applyNumberFormat="1" applyFont="1" applyFill="1" applyBorder="1" applyAlignment="1">
      <alignment horizontal="center"/>
    </xf>
    <xf numFmtId="2" fontId="20" fillId="9" borderId="9" xfId="0" applyNumberFormat="1" applyFont="1" applyFill="1" applyBorder="1" applyAlignment="1">
      <alignment horizontal="center"/>
    </xf>
    <xf numFmtId="0" fontId="20" fillId="9" borderId="7" xfId="0" applyFont="1" applyFill="1" applyBorder="1" applyAlignment="1">
      <alignment horizontal="center" vertical="center" wrapText="1"/>
    </xf>
    <xf numFmtId="0" fontId="0" fillId="0" borderId="1" xfId="0" applyFont="1" applyBorder="1" applyAlignment="1">
      <alignment vertical="center" wrapText="1"/>
    </xf>
    <xf numFmtId="168" fontId="28" fillId="0" borderId="0" xfId="0" applyNumberFormat="1" applyFont="1"/>
    <xf numFmtId="0" fontId="0" fillId="0" borderId="1" xfId="0" applyBorder="1" applyAlignment="1">
      <alignment horizontal="center"/>
    </xf>
    <xf numFmtId="0" fontId="0" fillId="0" borderId="41" xfId="0" applyBorder="1" applyAlignment="1">
      <alignment horizontal="center"/>
    </xf>
    <xf numFmtId="164" fontId="28" fillId="0" borderId="0" xfId="0" applyNumberFormat="1" applyFont="1"/>
    <xf numFmtId="0" fontId="0" fillId="0" borderId="0" xfId="0" applyAlignment="1">
      <alignment horizontal="center"/>
    </xf>
    <xf numFmtId="0" fontId="20" fillId="0" borderId="10" xfId="0" applyFont="1" applyBorder="1"/>
    <xf numFmtId="0" fontId="20" fillId="0" borderId="12" xfId="0" applyFont="1" applyBorder="1"/>
    <xf numFmtId="0" fontId="20" fillId="0" borderId="10" xfId="0" applyFont="1" applyBorder="1" applyAlignment="1">
      <alignment horizontal="left"/>
    </xf>
    <xf numFmtId="0" fontId="20" fillId="0" borderId="12" xfId="0" applyFont="1" applyBorder="1" applyAlignment="1">
      <alignment horizontal="left"/>
    </xf>
    <xf numFmtId="0" fontId="12" fillId="0" borderId="10" xfId="0" applyFont="1" applyBorder="1" applyAlignment="1">
      <alignment horizontal="left"/>
    </xf>
    <xf numFmtId="0" fontId="28" fillId="0" borderId="0" xfId="0" applyFont="1" applyAlignment="1">
      <alignment horizontal="center"/>
    </xf>
    <xf numFmtId="2" fontId="20" fillId="10" borderId="9" xfId="0" applyNumberFormat="1" applyFont="1" applyFill="1" applyBorder="1" applyAlignment="1">
      <alignment horizontal="center" vertical="center"/>
    </xf>
    <xf numFmtId="2" fontId="20" fillId="10" borderId="39" xfId="0" applyNumberFormat="1" applyFont="1" applyFill="1" applyBorder="1" applyAlignment="1">
      <alignment horizontal="center" vertical="center"/>
    </xf>
    <xf numFmtId="0" fontId="12" fillId="5" borderId="9" xfId="0" applyFont="1" applyFill="1" applyBorder="1" applyAlignment="1">
      <alignment horizontal="left" vertical="center"/>
    </xf>
    <xf numFmtId="0" fontId="12" fillId="8" borderId="8" xfId="0" applyFont="1" applyFill="1" applyBorder="1" applyAlignment="1">
      <alignment horizontal="center" vertical="center" wrapText="1"/>
    </xf>
    <xf numFmtId="0" fontId="0" fillId="0" borderId="1" xfId="0" applyBorder="1" applyAlignment="1">
      <alignment horizontal="left"/>
    </xf>
    <xf numFmtId="0" fontId="0" fillId="0" borderId="41" xfId="0" applyBorder="1" applyAlignment="1">
      <alignment horizontal="left"/>
    </xf>
    <xf numFmtId="164" fontId="28" fillId="0" borderId="2" xfId="0" applyNumberFormat="1" applyFont="1" applyBorder="1"/>
    <xf numFmtId="164" fontId="0" fillId="0" borderId="2" xfId="0" applyNumberFormat="1" applyBorder="1"/>
    <xf numFmtId="164" fontId="0" fillId="0" borderId="2" xfId="0" applyNumberFormat="1" applyBorder="1" applyAlignment="1">
      <alignment horizontal="center"/>
    </xf>
    <xf numFmtId="164" fontId="0" fillId="0" borderId="3" xfId="0" applyNumberFormat="1" applyFill="1" applyBorder="1" applyAlignment="1">
      <alignment horizontal="center"/>
    </xf>
    <xf numFmtId="164" fontId="28" fillId="0" borderId="0" xfId="0" applyNumberFormat="1" applyFont="1" applyBorder="1"/>
    <xf numFmtId="164" fontId="0" fillId="0" borderId="0" xfId="0" applyNumberFormat="1" applyBorder="1"/>
    <xf numFmtId="164" fontId="0" fillId="0" borderId="0" xfId="0" applyNumberFormat="1" applyBorder="1" applyAlignment="1">
      <alignment horizontal="center"/>
    </xf>
    <xf numFmtId="164" fontId="0" fillId="0" borderId="42" xfId="0" applyNumberFormat="1" applyFill="1" applyBorder="1" applyAlignment="1">
      <alignment horizontal="center"/>
    </xf>
    <xf numFmtId="164" fontId="28" fillId="0" borderId="2" xfId="0" applyNumberFormat="1" applyFont="1" applyBorder="1" applyAlignment="1">
      <alignment horizontal="right"/>
    </xf>
    <xf numFmtId="164" fontId="0" fillId="0" borderId="2" xfId="0" applyNumberFormat="1" applyBorder="1" applyAlignment="1">
      <alignment horizontal="right"/>
    </xf>
    <xf numFmtId="164" fontId="0" fillId="0" borderId="3" xfId="0" applyNumberFormat="1" applyFill="1" applyBorder="1" applyAlignment="1">
      <alignment horizontal="right"/>
    </xf>
    <xf numFmtId="164" fontId="28" fillId="0" borderId="0" xfId="0" applyNumberFormat="1" applyFont="1" applyBorder="1" applyAlignment="1">
      <alignment horizontal="right"/>
    </xf>
    <xf numFmtId="164" fontId="0" fillId="0" borderId="0" xfId="0" applyNumberFormat="1" applyBorder="1" applyAlignment="1">
      <alignment horizontal="right"/>
    </xf>
    <xf numFmtId="164" fontId="0" fillId="0" borderId="42" xfId="0" applyNumberFormat="1" applyFill="1" applyBorder="1" applyAlignment="1">
      <alignment horizontal="right"/>
    </xf>
    <xf numFmtId="165" fontId="0" fillId="0" borderId="0" xfId="0" applyNumberFormat="1" applyFont="1"/>
    <xf numFmtId="169" fontId="0" fillId="0" borderId="0" xfId="0" applyNumberFormat="1" applyFont="1"/>
    <xf numFmtId="0" fontId="28" fillId="0" borderId="0" xfId="0" applyFont="1" applyBorder="1" applyAlignment="1">
      <alignment vertical="center" wrapText="1"/>
    </xf>
    <xf numFmtId="0" fontId="28" fillId="0" borderId="0" xfId="0" applyFont="1" applyBorder="1" applyAlignment="1">
      <alignment vertical="center"/>
    </xf>
    <xf numFmtId="0" fontId="28" fillId="0" borderId="42" xfId="0" applyFont="1" applyBorder="1" applyAlignment="1">
      <alignment vertical="center"/>
    </xf>
    <xf numFmtId="2" fontId="20" fillId="8" borderId="38" xfId="0" applyNumberFormat="1" applyFont="1" applyFill="1" applyBorder="1" applyAlignment="1">
      <alignment horizontal="center"/>
    </xf>
    <xf numFmtId="0" fontId="20" fillId="5" borderId="7" xfId="0" applyFont="1" applyFill="1" applyBorder="1" applyAlignment="1">
      <alignment horizontal="left" vertical="center"/>
    </xf>
    <xf numFmtId="0" fontId="14" fillId="5" borderId="10" xfId="0" applyFont="1" applyFill="1" applyBorder="1"/>
    <xf numFmtId="0" fontId="14" fillId="5" borderId="12" xfId="0" applyFont="1" applyFill="1" applyBorder="1"/>
    <xf numFmtId="0" fontId="14" fillId="5" borderId="33" xfId="0" applyFont="1" applyFill="1" applyBorder="1"/>
    <xf numFmtId="0" fontId="14" fillId="5" borderId="32" xfId="0" applyFont="1" applyFill="1" applyBorder="1"/>
    <xf numFmtId="0" fontId="20" fillId="5" borderId="12" xfId="0" applyFont="1" applyFill="1" applyBorder="1"/>
    <xf numFmtId="2" fontId="12" fillId="5" borderId="7" xfId="0" applyNumberFormat="1" applyFont="1" applyFill="1" applyBorder="1" applyAlignment="1">
      <alignment horizontal="center"/>
    </xf>
    <xf numFmtId="2" fontId="20" fillId="5" borderId="9" xfId="0" applyNumberFormat="1" applyFont="1" applyFill="1" applyBorder="1" applyAlignment="1">
      <alignment horizontal="center"/>
    </xf>
    <xf numFmtId="2" fontId="20" fillId="5" borderId="7" xfId="0" applyNumberFormat="1" applyFont="1" applyFill="1" applyBorder="1" applyAlignment="1">
      <alignment horizontal="center"/>
    </xf>
    <xf numFmtId="0" fontId="20" fillId="5" borderId="8" xfId="0" applyFont="1" applyFill="1" applyBorder="1" applyAlignment="1">
      <alignment horizontal="left" vertical="center"/>
    </xf>
    <xf numFmtId="0" fontId="12" fillId="5" borderId="7" xfId="0" applyFont="1" applyFill="1" applyBorder="1" applyAlignment="1">
      <alignment horizontal="left" vertical="center"/>
    </xf>
    <xf numFmtId="0" fontId="34" fillId="0" borderId="0" xfId="0" applyFont="1" applyAlignment="1">
      <alignment vertical="center" wrapText="1"/>
    </xf>
    <xf numFmtId="0" fontId="14" fillId="5" borderId="11" xfId="0" applyFont="1" applyFill="1" applyBorder="1"/>
    <xf numFmtId="0" fontId="12" fillId="7" borderId="8" xfId="0" applyFont="1" applyFill="1" applyBorder="1" applyAlignment="1" applyProtection="1">
      <alignment horizontal="center"/>
      <protection locked="0"/>
    </xf>
    <xf numFmtId="0" fontId="20" fillId="5" borderId="11" xfId="0" applyFont="1" applyFill="1" applyBorder="1"/>
    <xf numFmtId="0" fontId="17" fillId="0" borderId="0" xfId="0" applyFont="1" applyFill="1"/>
    <xf numFmtId="0" fontId="18" fillId="0" borderId="0" xfId="0" applyFont="1" applyFill="1"/>
    <xf numFmtId="0" fontId="8" fillId="0" borderId="0" xfId="0" applyFont="1"/>
    <xf numFmtId="0" fontId="38" fillId="17" borderId="0" xfId="4" applyFont="1" applyFill="1" applyBorder="1" applyAlignment="1" applyProtection="1">
      <alignment horizontal="center"/>
    </xf>
    <xf numFmtId="0" fontId="3" fillId="0" borderId="0" xfId="4"/>
    <xf numFmtId="0" fontId="38" fillId="17" borderId="0" xfId="4" applyFont="1" applyFill="1" applyBorder="1" applyAlignment="1" applyProtection="1">
      <alignment horizontal="center" wrapText="1"/>
    </xf>
    <xf numFmtId="0" fontId="0" fillId="0" borderId="0" xfId="0" applyAlignment="1">
      <alignment horizontal="center"/>
    </xf>
    <xf numFmtId="0" fontId="28" fillId="0" borderId="0" xfId="0" applyFont="1" applyAlignment="1">
      <alignment horizontal="center"/>
    </xf>
    <xf numFmtId="0" fontId="44" fillId="15" borderId="51" xfId="0" applyFont="1" applyFill="1" applyBorder="1" applyAlignment="1">
      <alignment vertical="center" wrapText="1"/>
    </xf>
    <xf numFmtId="0" fontId="12" fillId="13" borderId="7" xfId="0" applyFont="1" applyFill="1" applyBorder="1" applyAlignment="1" applyProtection="1">
      <alignment horizontal="center"/>
      <protection locked="0"/>
    </xf>
    <xf numFmtId="165" fontId="28" fillId="0" borderId="0" xfId="0" applyNumberFormat="1" applyFont="1" applyAlignment="1">
      <alignment vertical="center"/>
    </xf>
    <xf numFmtId="166" fontId="28" fillId="0" borderId="0" xfId="0" applyNumberFormat="1" applyFont="1"/>
    <xf numFmtId="0" fontId="12" fillId="8" borderId="37" xfId="0" applyFont="1" applyFill="1" applyBorder="1"/>
    <xf numFmtId="0" fontId="20" fillId="8" borderId="38" xfId="0" applyFont="1" applyFill="1" applyBorder="1"/>
    <xf numFmtId="0" fontId="0" fillId="0" borderId="3" xfId="0" applyFont="1" applyBorder="1" applyAlignment="1">
      <alignment vertical="center" wrapText="1"/>
    </xf>
    <xf numFmtId="165" fontId="0" fillId="0" borderId="0" xfId="0" applyNumberFormat="1" applyAlignment="1">
      <alignment horizontal="center"/>
    </xf>
    <xf numFmtId="165" fontId="0" fillId="0" borderId="0" xfId="0" applyNumberFormat="1"/>
    <xf numFmtId="165" fontId="28" fillId="0" borderId="0" xfId="0" applyNumberFormat="1" applyFont="1" applyAlignment="1">
      <alignment wrapText="1"/>
    </xf>
    <xf numFmtId="0" fontId="0" fillId="0" borderId="0" xfId="0" applyFill="1"/>
    <xf numFmtId="0" fontId="28" fillId="0" borderId="0" xfId="0" applyFont="1" applyFill="1"/>
    <xf numFmtId="0" fontId="0" fillId="0" borderId="0" xfId="0" applyBorder="1"/>
    <xf numFmtId="0" fontId="11" fillId="0" borderId="0" xfId="0" applyFont="1" applyBorder="1" applyAlignment="1">
      <alignment vertical="center"/>
    </xf>
    <xf numFmtId="0" fontId="3" fillId="0" borderId="47" xfId="1" applyFont="1" applyBorder="1" applyAlignment="1">
      <alignment horizontal="center" vertical="center" wrapText="1"/>
    </xf>
    <xf numFmtId="0" fontId="3" fillId="0" borderId="0" xfId="4" applyFont="1" applyFill="1" applyBorder="1" applyAlignment="1" applyProtection="1">
      <alignment horizontal="center"/>
    </xf>
    <xf numFmtId="1" fontId="3" fillId="0" borderId="0" xfId="4" applyNumberFormat="1" applyFont="1" applyFill="1" applyBorder="1" applyAlignment="1" applyProtection="1">
      <alignment horizontal="center"/>
    </xf>
    <xf numFmtId="0" fontId="3" fillId="9" borderId="0" xfId="4" applyFont="1" applyFill="1" applyBorder="1" applyAlignment="1" applyProtection="1">
      <alignment horizontal="center"/>
    </xf>
    <xf numFmtId="1" fontId="3" fillId="9" borderId="0" xfId="4" applyNumberFormat="1" applyFont="1" applyFill="1" applyBorder="1" applyAlignment="1" applyProtection="1">
      <alignment horizontal="center"/>
    </xf>
    <xf numFmtId="0" fontId="3" fillId="5" borderId="0" xfId="4" applyFont="1" applyFill="1" applyBorder="1" applyAlignment="1" applyProtection="1">
      <alignment horizontal="center"/>
    </xf>
    <xf numFmtId="1" fontId="3" fillId="5" borderId="0" xfId="4" applyNumberFormat="1" applyFont="1" applyFill="1" applyBorder="1" applyAlignment="1" applyProtection="1">
      <alignment horizontal="center"/>
    </xf>
    <xf numFmtId="0" fontId="3" fillId="0" borderId="0" xfId="4" applyAlignment="1">
      <alignment horizontal="center"/>
    </xf>
    <xf numFmtId="0" fontId="3" fillId="0" borderId="0" xfId="4" applyFont="1" applyAlignment="1">
      <alignment horizontal="center"/>
    </xf>
    <xf numFmtId="0" fontId="3" fillId="0" borderId="0" xfId="4" applyFont="1" applyAlignment="1">
      <alignment horizontal="center" wrapText="1"/>
    </xf>
    <xf numFmtId="0" fontId="0" fillId="0" borderId="0" xfId="0" applyAlignment="1">
      <alignment horizontal="left" vertical="center"/>
    </xf>
    <xf numFmtId="16" fontId="32" fillId="0" borderId="0" xfId="0" quotePrefix="1" applyNumberFormat="1" applyFont="1" applyAlignment="1">
      <alignment horizontal="left" vertical="center"/>
    </xf>
    <xf numFmtId="2" fontId="20" fillId="10" borderId="9" xfId="0" applyNumberFormat="1" applyFont="1" applyFill="1" applyBorder="1" applyAlignment="1">
      <alignment horizontal="center" vertical="center"/>
    </xf>
    <xf numFmtId="0" fontId="12" fillId="5" borderId="9" xfId="0" applyFont="1" applyFill="1" applyBorder="1" applyAlignment="1">
      <alignment horizontal="left" vertical="center"/>
    </xf>
    <xf numFmtId="0" fontId="25" fillId="0" borderId="0" xfId="0" applyFont="1" applyFill="1" applyBorder="1" applyAlignment="1">
      <alignment vertical="center"/>
    </xf>
    <xf numFmtId="2" fontId="25" fillId="0" borderId="0" xfId="0" applyNumberFormat="1" applyFont="1" applyFill="1" applyBorder="1" applyAlignment="1">
      <alignment vertical="center"/>
    </xf>
    <xf numFmtId="2" fontId="9" fillId="0" borderId="7" xfId="0" applyNumberFormat="1" applyFont="1" applyFill="1" applyBorder="1" applyAlignment="1">
      <alignment horizontal="center"/>
    </xf>
    <xf numFmtId="0" fontId="9" fillId="0" borderId="0" xfId="0" applyFont="1"/>
    <xf numFmtId="0" fontId="1" fillId="18" borderId="7" xfId="0" applyFont="1" applyFill="1" applyBorder="1" applyAlignment="1">
      <alignment horizontal="center"/>
    </xf>
    <xf numFmtId="0" fontId="10" fillId="0" borderId="0" xfId="0" applyFont="1"/>
    <xf numFmtId="0" fontId="1" fillId="18" borderId="7" xfId="0" applyFont="1" applyFill="1" applyBorder="1"/>
    <xf numFmtId="0" fontId="3" fillId="0" borderId="13" xfId="1" applyFont="1" applyFill="1" applyBorder="1" applyAlignment="1">
      <alignment horizontal="center" vertical="center" wrapText="1"/>
    </xf>
    <xf numFmtId="0" fontId="3" fillId="0" borderId="43" xfId="1" applyFont="1" applyFill="1" applyBorder="1" applyAlignment="1">
      <alignment vertical="center" wrapText="1"/>
    </xf>
    <xf numFmtId="0" fontId="3" fillId="0" borderId="43" xfId="1" applyFont="1" applyFill="1" applyBorder="1" applyAlignment="1">
      <alignment horizontal="center" vertical="center" wrapText="1"/>
    </xf>
    <xf numFmtId="0" fontId="3" fillId="0" borderId="34" xfId="1" applyFont="1" applyFill="1" applyBorder="1" applyAlignment="1">
      <alignment horizontal="center" vertical="center" wrapText="1"/>
    </xf>
    <xf numFmtId="0" fontId="3" fillId="0" borderId="0" xfId="1" applyFont="1" applyFill="1" applyAlignment="1">
      <alignment vertical="center" wrapText="1"/>
    </xf>
    <xf numFmtId="0" fontId="39" fillId="0" borderId="0" xfId="1" quotePrefix="1" applyFont="1" applyFill="1" applyAlignment="1">
      <alignment vertical="center" wrapText="1"/>
    </xf>
    <xf numFmtId="0" fontId="3" fillId="0" borderId="27" xfId="1" applyFont="1" applyFill="1" applyBorder="1" applyAlignment="1">
      <alignment horizontal="center" vertical="center" wrapText="1"/>
    </xf>
    <xf numFmtId="0" fontId="3" fillId="0" borderId="26" xfId="1" applyFont="1" applyFill="1" applyBorder="1" applyAlignment="1">
      <alignment horizontal="center" vertical="center" wrapText="1"/>
    </xf>
    <xf numFmtId="165" fontId="31" fillId="0" borderId="0" xfId="0" applyNumberFormat="1" applyFont="1" applyFill="1"/>
    <xf numFmtId="0" fontId="0" fillId="0" borderId="0" xfId="0" applyFont="1" applyFill="1"/>
    <xf numFmtId="0" fontId="0" fillId="0" borderId="0" xfId="0" applyFill="1" applyAlignment="1">
      <alignment horizontal="center"/>
    </xf>
    <xf numFmtId="167" fontId="35" fillId="0" borderId="0" xfId="0" applyNumberFormat="1" applyFont="1"/>
    <xf numFmtId="167" fontId="0" fillId="0" borderId="0" xfId="0" applyNumberFormat="1"/>
    <xf numFmtId="167" fontId="36" fillId="0" borderId="0" xfId="0" applyNumberFormat="1" applyFont="1"/>
    <xf numFmtId="0" fontId="3" fillId="0" borderId="52" xfId="1" applyFont="1" applyFill="1" applyBorder="1" applyAlignment="1">
      <alignment horizontal="center" vertical="center" wrapText="1"/>
    </xf>
    <xf numFmtId="0" fontId="0" fillId="0" borderId="0" xfId="0" applyAlignment="1"/>
    <xf numFmtId="0" fontId="8" fillId="0" borderId="0" xfId="0" applyFont="1" applyAlignment="1"/>
    <xf numFmtId="167" fontId="8" fillId="0" borderId="0" xfId="0" applyNumberFormat="1" applyFont="1"/>
    <xf numFmtId="167" fontId="46" fillId="0" borderId="0" xfId="0" applyNumberFormat="1" applyFont="1"/>
    <xf numFmtId="0" fontId="0" fillId="0" borderId="0" xfId="0" applyAlignment="1">
      <alignment horizontal="center"/>
    </xf>
    <xf numFmtId="2" fontId="20" fillId="10" borderId="39" xfId="0" applyNumberFormat="1" applyFont="1" applyFill="1" applyBorder="1" applyAlignment="1">
      <alignment horizontal="center" vertical="center"/>
    </xf>
    <xf numFmtId="0" fontId="0" fillId="8" borderId="7" xfId="0" applyFill="1" applyBorder="1"/>
    <xf numFmtId="0" fontId="0" fillId="0" borderId="7" xfId="0" applyBorder="1"/>
    <xf numFmtId="0" fontId="0" fillId="9" borderId="7" xfId="0" applyFill="1" applyBorder="1"/>
    <xf numFmtId="0" fontId="0" fillId="10" borderId="22" xfId="0" applyFill="1" applyBorder="1"/>
    <xf numFmtId="0" fontId="0" fillId="10" borderId="7" xfId="0" applyFill="1" applyBorder="1"/>
    <xf numFmtId="0" fontId="0" fillId="10" borderId="32" xfId="0" applyFill="1" applyBorder="1"/>
    <xf numFmtId="0" fontId="8" fillId="10" borderId="7" xfId="0" applyFont="1" applyFill="1" applyBorder="1"/>
    <xf numFmtId="0" fontId="8" fillId="10" borderId="7" xfId="0" applyFont="1" applyFill="1" applyBorder="1" applyAlignment="1">
      <alignment horizontal="left" vertical="center"/>
    </xf>
    <xf numFmtId="0" fontId="0" fillId="0" borderId="7" xfId="0" applyBorder="1" applyAlignment="1">
      <alignment vertical="center" wrapText="1"/>
    </xf>
    <xf numFmtId="0" fontId="0" fillId="10" borderId="8" xfId="0" applyFill="1" applyBorder="1" applyAlignment="1">
      <alignment horizontal="left" vertical="center"/>
    </xf>
    <xf numFmtId="0" fontId="0" fillId="10" borderId="37" xfId="0" applyFill="1" applyBorder="1"/>
    <xf numFmtId="0" fontId="0" fillId="0" borderId="7" xfId="0" applyBorder="1" applyAlignment="1">
      <alignment vertical="center"/>
    </xf>
    <xf numFmtId="0" fontId="12" fillId="10" borderId="7" xfId="0" applyFont="1" applyFill="1" applyBorder="1"/>
    <xf numFmtId="0" fontId="0" fillId="10" borderId="7" xfId="0" applyFill="1" applyBorder="1" applyAlignment="1">
      <alignment horizontal="left" vertical="center"/>
    </xf>
    <xf numFmtId="0" fontId="0" fillId="0" borderId="7" xfId="0" applyBorder="1" applyAlignment="1">
      <alignment wrapText="1"/>
    </xf>
    <xf numFmtId="0" fontId="0" fillId="19" borderId="7"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12" fillId="7" borderId="9" xfId="0" applyFont="1" applyFill="1" applyBorder="1" applyAlignment="1" applyProtection="1">
      <alignment horizontal="center"/>
      <protection locked="0"/>
    </xf>
    <xf numFmtId="0" fontId="12" fillId="0" borderId="10" xfId="0" applyFont="1" applyBorder="1"/>
    <xf numFmtId="0" fontId="3" fillId="15" borderId="26" xfId="1" applyFill="1" applyBorder="1" applyAlignment="1">
      <alignment horizontal="center" vertical="center" wrapText="1"/>
    </xf>
    <xf numFmtId="0" fontId="3" fillId="15" borderId="27" xfId="1" applyFill="1" applyBorder="1" applyAlignment="1">
      <alignment horizontal="center" vertical="center" wrapText="1"/>
    </xf>
    <xf numFmtId="0" fontId="12" fillId="10" borderId="7" xfId="0" applyFont="1" applyFill="1" applyBorder="1" applyAlignment="1">
      <alignment horizontal="left" vertical="center"/>
    </xf>
    <xf numFmtId="14" fontId="0" fillId="0" borderId="0" xfId="0" applyNumberFormat="1"/>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0" fillId="0" borderId="0" xfId="0" applyAlignment="1">
      <alignment horizontal="center"/>
    </xf>
    <xf numFmtId="0" fontId="0" fillId="14" borderId="7" xfId="0" applyFill="1" applyBorder="1" applyAlignment="1">
      <alignment horizontal="left"/>
    </xf>
    <xf numFmtId="0" fontId="0" fillId="14" borderId="45" xfId="0" applyFill="1" applyBorder="1" applyAlignment="1">
      <alignment horizontal="left"/>
    </xf>
    <xf numFmtId="0" fontId="13" fillId="0" borderId="41" xfId="0" applyFont="1" applyBorder="1" applyAlignment="1">
      <alignment horizontal="left"/>
    </xf>
    <xf numFmtId="0" fontId="13" fillId="0" borderId="0" xfId="0" applyFont="1" applyAlignment="1">
      <alignment horizontal="left"/>
    </xf>
    <xf numFmtId="0" fontId="13" fillId="0" borderId="33" xfId="0" applyFont="1" applyBorder="1" applyAlignment="1">
      <alignment horizontal="left"/>
    </xf>
    <xf numFmtId="0" fontId="10" fillId="0" borderId="41" xfId="0" applyFont="1" applyBorder="1" applyAlignment="1">
      <alignment horizontal="left" vertical="center" wrapText="1"/>
    </xf>
    <xf numFmtId="0" fontId="10" fillId="0" borderId="0" xfId="0" applyFont="1" applyAlignment="1">
      <alignment horizontal="left" vertical="center" wrapText="1"/>
    </xf>
    <xf numFmtId="0" fontId="10" fillId="0" borderId="42" xfId="0" applyFont="1" applyBorder="1" applyAlignment="1">
      <alignment horizontal="left" vertical="center" wrapText="1"/>
    </xf>
    <xf numFmtId="0" fontId="0" fillId="14" borderId="7" xfId="0" applyFill="1" applyBorder="1" applyAlignment="1">
      <alignment horizontal="center"/>
    </xf>
    <xf numFmtId="0" fontId="0" fillId="14" borderId="45" xfId="0" applyFill="1" applyBorder="1" applyAlignment="1">
      <alignment horizontal="center"/>
    </xf>
    <xf numFmtId="0" fontId="0" fillId="14" borderId="10" xfId="0" applyFill="1" applyBorder="1" applyAlignment="1">
      <alignment horizontal="left"/>
    </xf>
    <xf numFmtId="0" fontId="0" fillId="14" borderId="11" xfId="0" applyFill="1" applyBorder="1" applyAlignment="1">
      <alignment horizontal="left"/>
    </xf>
    <xf numFmtId="0" fontId="0" fillId="14" borderId="46" xfId="0" applyFill="1" applyBorder="1" applyAlignment="1">
      <alignment horizontal="left"/>
    </xf>
    <xf numFmtId="0" fontId="38" fillId="5" borderId="0" xfId="1" applyFont="1" applyFill="1" applyAlignment="1">
      <alignment horizontal="center" vertical="center" wrapText="1"/>
    </xf>
    <xf numFmtId="0" fontId="3" fillId="5" borderId="0" xfId="1" applyFont="1" applyFill="1" applyAlignment="1">
      <alignment horizontal="center" vertical="center"/>
    </xf>
    <xf numFmtId="0" fontId="42" fillId="5" borderId="0" xfId="3" applyFont="1" applyFill="1" applyAlignment="1">
      <alignment horizontal="center" vertical="center" wrapText="1"/>
    </xf>
    <xf numFmtId="0" fontId="39" fillId="0" borderId="0" xfId="1" applyFont="1" applyAlignment="1">
      <alignment horizontal="left" vertical="center"/>
    </xf>
    <xf numFmtId="0" fontId="39" fillId="0" borderId="0" xfId="1" applyFont="1" applyAlignment="1">
      <alignment horizontal="left" wrapText="1"/>
    </xf>
    <xf numFmtId="0" fontId="5" fillId="0" borderId="5" xfId="1" applyFont="1" applyBorder="1" applyAlignment="1">
      <alignment horizontal="center" vertical="center" wrapText="1"/>
    </xf>
    <xf numFmtId="0" fontId="6" fillId="7" borderId="22" xfId="1" applyFont="1" applyFill="1" applyBorder="1" applyAlignment="1">
      <alignment horizontal="center" vertical="center" wrapText="1"/>
    </xf>
    <xf numFmtId="0" fontId="6" fillId="7" borderId="21" xfId="1" applyFont="1" applyFill="1" applyBorder="1" applyAlignment="1">
      <alignment horizontal="center" vertical="center" wrapText="1"/>
    </xf>
    <xf numFmtId="0" fontId="6" fillId="7" borderId="32" xfId="1" applyFont="1" applyFill="1" applyBorder="1" applyAlignment="1">
      <alignment horizontal="center" vertical="center" wrapText="1"/>
    </xf>
    <xf numFmtId="0" fontId="6" fillId="7" borderId="33" xfId="1" applyFont="1" applyFill="1" applyBorder="1" applyAlignment="1">
      <alignment horizontal="center" vertical="center" wrapText="1"/>
    </xf>
    <xf numFmtId="0" fontId="6" fillId="7" borderId="7" xfId="1" applyFont="1" applyFill="1" applyBorder="1" applyAlignment="1">
      <alignment horizontal="center" vertical="center" wrapText="1"/>
    </xf>
    <xf numFmtId="0" fontId="6" fillId="7" borderId="10" xfId="1" applyFont="1" applyFill="1" applyBorder="1" applyAlignment="1">
      <alignment horizontal="center" vertical="center" wrapText="1"/>
    </xf>
    <xf numFmtId="0" fontId="6" fillId="7" borderId="8" xfId="1" applyFont="1" applyFill="1" applyBorder="1" applyAlignment="1">
      <alignment horizontal="center" vertical="center" wrapText="1"/>
    </xf>
    <xf numFmtId="0" fontId="6" fillId="7" borderId="53" xfId="1" applyFont="1" applyFill="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6" borderId="16" xfId="1" applyFont="1" applyFill="1" applyBorder="1" applyAlignment="1">
      <alignment horizontal="center" vertical="center"/>
    </xf>
    <xf numFmtId="0" fontId="4" fillId="6" borderId="17" xfId="1" applyFont="1" applyFill="1" applyBorder="1" applyAlignment="1">
      <alignment horizontal="center" vertical="center"/>
    </xf>
    <xf numFmtId="0" fontId="4" fillId="6" borderId="18" xfId="1" applyFont="1" applyFill="1" applyBorder="1" applyAlignment="1">
      <alignment horizontal="center" vertical="center"/>
    </xf>
    <xf numFmtId="0" fontId="4" fillId="6" borderId="19" xfId="1" applyFont="1" applyFill="1" applyBorder="1" applyAlignment="1">
      <alignment horizontal="center" vertical="center"/>
    </xf>
    <xf numFmtId="0" fontId="5" fillId="0" borderId="1" xfId="1" applyFont="1" applyBorder="1" applyAlignment="1">
      <alignment horizontal="left" wrapText="1"/>
    </xf>
    <xf numFmtId="0" fontId="5" fillId="0" borderId="3" xfId="1" applyFont="1" applyBorder="1" applyAlignment="1">
      <alignment horizontal="left" wrapText="1"/>
    </xf>
    <xf numFmtId="0" fontId="5" fillId="0" borderId="4" xfId="1" applyFont="1" applyBorder="1" applyAlignment="1">
      <alignment horizontal="left" wrapText="1"/>
    </xf>
    <xf numFmtId="0" fontId="5" fillId="0" borderId="6" xfId="1" applyFont="1" applyBorder="1" applyAlignment="1">
      <alignment horizontal="left" wrapText="1"/>
    </xf>
    <xf numFmtId="0" fontId="1" fillId="3" borderId="0" xfId="0" applyFont="1" applyFill="1" applyAlignment="1">
      <alignment horizontal="center"/>
    </xf>
    <xf numFmtId="0" fontId="38" fillId="17" borderId="0" xfId="4" applyFont="1" applyFill="1" applyBorder="1" applyAlignment="1" applyProtection="1">
      <alignment horizontal="center" vertical="top" wrapText="1"/>
    </xf>
    <xf numFmtId="0" fontId="38" fillId="17" borderId="0" xfId="4" applyFont="1" applyFill="1" applyBorder="1" applyAlignment="1" applyProtection="1">
      <alignment horizontal="center" vertical="top"/>
    </xf>
    <xf numFmtId="0" fontId="0" fillId="19" borderId="8" xfId="0" applyFill="1" applyBorder="1" applyAlignment="1">
      <alignment horizontal="left" vertical="center"/>
    </xf>
    <xf numFmtId="0" fontId="0" fillId="19" borderId="39" xfId="0" applyFill="1" applyBorder="1" applyAlignment="1">
      <alignment horizontal="left" vertical="center"/>
    </xf>
    <xf numFmtId="0" fontId="0" fillId="11" borderId="8" xfId="0" applyFill="1" applyBorder="1" applyAlignment="1">
      <alignment horizontal="left" vertical="center"/>
    </xf>
    <xf numFmtId="0" fontId="0" fillId="11" borderId="9" xfId="0" applyFill="1" applyBorder="1" applyAlignment="1">
      <alignment horizontal="left" vertical="center"/>
    </xf>
    <xf numFmtId="0" fontId="0" fillId="8" borderId="8" xfId="0" applyFill="1" applyBorder="1" applyAlignment="1">
      <alignment horizontal="left" vertical="center"/>
    </xf>
    <xf numFmtId="0" fontId="0" fillId="8" borderId="39" xfId="0" applyFill="1" applyBorder="1" applyAlignment="1">
      <alignment horizontal="left" vertical="center"/>
    </xf>
    <xf numFmtId="0" fontId="0" fillId="8" borderId="9" xfId="0" applyFill="1" applyBorder="1" applyAlignment="1">
      <alignment horizontal="left" vertical="center"/>
    </xf>
    <xf numFmtId="0" fontId="0" fillId="9" borderId="8" xfId="0" applyFill="1" applyBorder="1" applyAlignment="1">
      <alignment horizontal="left" vertical="center"/>
    </xf>
    <xf numFmtId="0" fontId="0" fillId="9" borderId="9" xfId="0" applyFill="1" applyBorder="1" applyAlignment="1">
      <alignment horizontal="left" vertical="center"/>
    </xf>
    <xf numFmtId="0" fontId="0" fillId="10" borderId="8" xfId="0" applyFill="1" applyBorder="1" applyAlignment="1">
      <alignment horizontal="left" vertical="center"/>
    </xf>
    <xf numFmtId="0" fontId="0" fillId="10" borderId="39" xfId="0" applyFill="1" applyBorder="1" applyAlignment="1">
      <alignment horizontal="left" vertical="center"/>
    </xf>
    <xf numFmtId="0" fontId="0" fillId="10" borderId="9" xfId="0" applyFill="1" applyBorder="1" applyAlignment="1">
      <alignment horizontal="left" vertical="center"/>
    </xf>
    <xf numFmtId="0" fontId="20" fillId="0" borderId="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9" xfId="0" applyFont="1" applyBorder="1" applyAlignment="1">
      <alignment horizontal="center" vertical="center" wrapText="1"/>
    </xf>
    <xf numFmtId="0" fontId="34" fillId="0" borderId="0" xfId="0" applyFont="1" applyAlignment="1">
      <alignment horizontal="center" vertical="center" wrapText="1"/>
    </xf>
    <xf numFmtId="0" fontId="12" fillId="0" borderId="10" xfId="0" applyFont="1" applyBorder="1"/>
    <xf numFmtId="0" fontId="12" fillId="0" borderId="12" xfId="0" applyFont="1" applyBorder="1"/>
    <xf numFmtId="2" fontId="20" fillId="11" borderId="7" xfId="0" applyNumberFormat="1" applyFont="1" applyFill="1" applyBorder="1" applyAlignment="1">
      <alignment horizontal="center" vertical="center"/>
    </xf>
    <xf numFmtId="0" fontId="20" fillId="0" borderId="7" xfId="0" applyFont="1" applyBorder="1" applyAlignment="1">
      <alignment horizontal="center" vertical="center" wrapText="1"/>
    </xf>
    <xf numFmtId="2" fontId="20" fillId="5" borderId="7" xfId="0" applyNumberFormat="1" applyFont="1" applyFill="1" applyBorder="1" applyAlignment="1">
      <alignment horizontal="center" vertical="center"/>
    </xf>
    <xf numFmtId="0" fontId="19" fillId="0" borderId="10" xfId="0" applyFont="1" applyBorder="1" applyAlignment="1">
      <alignment horizontal="center"/>
    </xf>
    <xf numFmtId="0" fontId="19" fillId="0" borderId="11" xfId="0" applyFont="1" applyBorder="1" applyAlignment="1">
      <alignment horizontal="center"/>
    </xf>
    <xf numFmtId="0" fontId="19" fillId="0" borderId="12" xfId="0" applyFont="1" applyBorder="1" applyAlignment="1">
      <alignment horizontal="center"/>
    </xf>
    <xf numFmtId="2" fontId="20" fillId="8" borderId="8" xfId="0" applyNumberFormat="1" applyFont="1" applyFill="1" applyBorder="1" applyAlignment="1">
      <alignment horizontal="center" vertical="center"/>
    </xf>
    <xf numFmtId="2" fontId="20" fillId="8" borderId="39" xfId="0" applyNumberFormat="1" applyFont="1" applyFill="1" applyBorder="1" applyAlignment="1">
      <alignment horizontal="center" vertical="center"/>
    </xf>
    <xf numFmtId="2" fontId="20" fillId="8" borderId="9" xfId="0" applyNumberFormat="1" applyFont="1" applyFill="1" applyBorder="1" applyAlignment="1">
      <alignment horizontal="center" vertical="center"/>
    </xf>
    <xf numFmtId="2" fontId="25" fillId="0" borderId="8" xfId="0" applyNumberFormat="1" applyFont="1" applyBorder="1" applyAlignment="1">
      <alignment horizontal="center" vertical="center"/>
    </xf>
    <xf numFmtId="2" fontId="25" fillId="0" borderId="9" xfId="0" applyNumberFormat="1" applyFont="1" applyBorder="1" applyAlignment="1">
      <alignment horizontal="center" vertical="center"/>
    </xf>
    <xf numFmtId="2" fontId="20" fillId="9" borderId="8" xfId="0" applyNumberFormat="1" applyFont="1" applyFill="1" applyBorder="1" applyAlignment="1">
      <alignment horizontal="center" vertical="center"/>
    </xf>
    <xf numFmtId="2" fontId="20" fillId="9" borderId="9" xfId="0" applyNumberFormat="1" applyFont="1" applyFill="1" applyBorder="1" applyAlignment="1">
      <alignment horizontal="center" vertical="center"/>
    </xf>
    <xf numFmtId="0" fontId="15" fillId="8" borderId="22" xfId="0" applyFont="1" applyFill="1" applyBorder="1" applyAlignment="1">
      <alignment horizontal="center" vertical="center" wrapText="1"/>
    </xf>
    <xf numFmtId="0" fontId="15" fillId="8" borderId="21" xfId="0" applyFont="1" applyFill="1" applyBorder="1" applyAlignment="1">
      <alignment horizontal="center" vertical="center" wrapText="1"/>
    </xf>
    <xf numFmtId="0" fontId="15" fillId="8" borderId="37"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25" fillId="5" borderId="22" xfId="0" applyFont="1" applyFill="1" applyBorder="1" applyAlignment="1">
      <alignment horizontal="center" vertical="center"/>
    </xf>
    <xf numFmtId="0" fontId="25" fillId="5" borderId="21" xfId="0" applyFont="1" applyFill="1" applyBorder="1" applyAlignment="1">
      <alignment horizontal="center" vertical="center"/>
    </xf>
    <xf numFmtId="0" fontId="25" fillId="5" borderId="37" xfId="0" applyFont="1" applyFill="1" applyBorder="1" applyAlignment="1">
      <alignment horizontal="center" vertical="center"/>
    </xf>
    <xf numFmtId="0" fontId="25" fillId="5" borderId="38" xfId="0" applyFont="1" applyFill="1" applyBorder="1" applyAlignment="1">
      <alignment horizontal="center" vertical="center"/>
    </xf>
    <xf numFmtId="0" fontId="20" fillId="5" borderId="8" xfId="0" applyFont="1" applyFill="1" applyBorder="1" applyAlignment="1">
      <alignment horizontal="left" vertical="center"/>
    </xf>
    <xf numFmtId="0" fontId="20" fillId="5" borderId="39" xfId="0" applyFont="1" applyFill="1" applyBorder="1" applyAlignment="1">
      <alignment horizontal="left" vertical="center"/>
    </xf>
    <xf numFmtId="0" fontId="20" fillId="5" borderId="9" xfId="0" applyFont="1" applyFill="1" applyBorder="1" applyAlignment="1">
      <alignment horizontal="left" vertical="center"/>
    </xf>
    <xf numFmtId="0" fontId="20" fillId="11" borderId="8" xfId="0" applyFont="1" applyFill="1" applyBorder="1" applyAlignment="1">
      <alignment horizontal="left" vertical="center"/>
    </xf>
    <xf numFmtId="0" fontId="20" fillId="11" borderId="9" xfId="0" applyFont="1" applyFill="1" applyBorder="1" applyAlignment="1">
      <alignment horizontal="left" vertical="center"/>
    </xf>
    <xf numFmtId="0" fontId="20" fillId="10" borderId="8" xfId="0" applyFont="1" applyFill="1" applyBorder="1" applyAlignment="1">
      <alignment horizontal="left" vertical="center"/>
    </xf>
    <xf numFmtId="0" fontId="20" fillId="10" borderId="9" xfId="0" applyFont="1" applyFill="1" applyBorder="1" applyAlignment="1">
      <alignment horizontal="left" vertical="center"/>
    </xf>
    <xf numFmtId="2" fontId="20" fillId="10" borderId="8" xfId="0" applyNumberFormat="1" applyFont="1" applyFill="1" applyBorder="1" applyAlignment="1">
      <alignment horizontal="center" vertical="center"/>
    </xf>
    <xf numFmtId="2" fontId="20" fillId="10" borderId="9" xfId="0" applyNumberFormat="1" applyFont="1" applyFill="1" applyBorder="1" applyAlignment="1">
      <alignment horizontal="center" vertical="center"/>
    </xf>
    <xf numFmtId="0" fontId="20" fillId="10" borderId="39" xfId="0" applyFont="1" applyFill="1" applyBorder="1" applyAlignment="1">
      <alignment horizontal="left" vertical="center"/>
    </xf>
    <xf numFmtId="2" fontId="20" fillId="10" borderId="21" xfId="0" applyNumberFormat="1" applyFont="1" applyFill="1" applyBorder="1" applyAlignment="1">
      <alignment horizontal="center" vertical="center"/>
    </xf>
    <xf numFmtId="2" fontId="20" fillId="10" borderId="33" xfId="0" applyNumberFormat="1" applyFont="1" applyFill="1" applyBorder="1" applyAlignment="1">
      <alignment horizontal="center" vertical="center"/>
    </xf>
    <xf numFmtId="2" fontId="20" fillId="10" borderId="38" xfId="0" applyNumberFormat="1" applyFont="1" applyFill="1" applyBorder="1" applyAlignment="1">
      <alignment horizontal="center" vertical="center"/>
    </xf>
    <xf numFmtId="2" fontId="20" fillId="10" borderId="39" xfId="0" applyNumberFormat="1" applyFont="1" applyFill="1" applyBorder="1" applyAlignment="1">
      <alignment horizontal="center" vertical="center"/>
    </xf>
    <xf numFmtId="2" fontId="20" fillId="0" borderId="8" xfId="0" applyNumberFormat="1" applyFont="1" applyBorder="1" applyAlignment="1">
      <alignment horizontal="center" vertical="center" wrapText="1"/>
    </xf>
    <xf numFmtId="2" fontId="20" fillId="0" borderId="39" xfId="0" applyNumberFormat="1" applyFont="1" applyBorder="1" applyAlignment="1">
      <alignment horizontal="center" vertical="center" wrapText="1"/>
    </xf>
    <xf numFmtId="2" fontId="20" fillId="0" borderId="9" xfId="0" applyNumberFormat="1" applyFont="1" applyBorder="1" applyAlignment="1">
      <alignment horizontal="center" vertical="center" wrapText="1"/>
    </xf>
    <xf numFmtId="0" fontId="20" fillId="10" borderId="32" xfId="0" applyFont="1" applyFill="1" applyBorder="1" applyAlignment="1">
      <alignment horizontal="left" vertical="center"/>
    </xf>
    <xf numFmtId="0" fontId="12" fillId="10" borderId="36" xfId="0" applyFont="1" applyFill="1" applyBorder="1" applyAlignment="1">
      <alignment horizontal="left"/>
    </xf>
    <xf numFmtId="0" fontId="12" fillId="10" borderId="38" xfId="0" applyFont="1" applyFill="1" applyBorder="1" applyAlignment="1">
      <alignment horizontal="left"/>
    </xf>
    <xf numFmtId="0" fontId="20" fillId="7" borderId="22" xfId="0" applyFont="1" applyFill="1" applyBorder="1" applyAlignment="1">
      <alignment horizontal="center"/>
    </xf>
    <xf numFmtId="0" fontId="20" fillId="7" borderId="40" xfId="0" applyFont="1" applyFill="1" applyBorder="1" applyAlignment="1">
      <alignment horizontal="center"/>
    </xf>
    <xf numFmtId="0" fontId="20" fillId="7" borderId="21" xfId="0" applyFont="1" applyFill="1" applyBorder="1" applyAlignment="1">
      <alignment horizontal="center"/>
    </xf>
    <xf numFmtId="0" fontId="20" fillId="13" borderId="32" xfId="0" applyFont="1" applyFill="1" applyBorder="1" applyAlignment="1">
      <alignment horizontal="center"/>
    </xf>
    <xf numFmtId="0" fontId="20" fillId="13" borderId="0" xfId="0" applyFont="1" applyFill="1" applyAlignment="1">
      <alignment horizontal="center"/>
    </xf>
    <xf numFmtId="0" fontId="20" fillId="13" borderId="33" xfId="0" applyFont="1" applyFill="1" applyBorder="1" applyAlignment="1">
      <alignment horizontal="center"/>
    </xf>
    <xf numFmtId="0" fontId="11"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20" fillId="10" borderId="8" xfId="0" applyFont="1" applyFill="1" applyBorder="1" applyAlignment="1">
      <alignment horizontal="center" vertical="center"/>
    </xf>
    <xf numFmtId="0" fontId="20" fillId="10" borderId="39" xfId="0" applyFont="1" applyFill="1" applyBorder="1" applyAlignment="1">
      <alignment horizontal="center" vertical="center"/>
    </xf>
    <xf numFmtId="0" fontId="20" fillId="10" borderId="9" xfId="0" applyFont="1" applyFill="1" applyBorder="1" applyAlignment="1">
      <alignment horizontal="center" vertical="center"/>
    </xf>
    <xf numFmtId="0" fontId="20" fillId="0" borderId="37" xfId="0" applyFont="1" applyBorder="1" applyAlignment="1">
      <alignment horizontal="center"/>
    </xf>
    <xf numFmtId="0" fontId="20" fillId="0" borderId="36" xfId="0" applyFont="1" applyBorder="1" applyAlignment="1">
      <alignment horizontal="center"/>
    </xf>
    <xf numFmtId="0" fontId="20" fillId="0" borderId="38" xfId="0" applyFont="1" applyBorder="1" applyAlignment="1">
      <alignment horizont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5" fillId="10" borderId="22" xfId="0" applyFont="1" applyFill="1" applyBorder="1" applyAlignment="1">
      <alignment horizontal="center" vertical="center"/>
    </xf>
    <xf numFmtId="0" fontId="25" fillId="10" borderId="21" xfId="0" applyFont="1" applyFill="1" applyBorder="1" applyAlignment="1">
      <alignment horizontal="center" vertical="center"/>
    </xf>
    <xf numFmtId="0" fontId="25" fillId="10" borderId="37" xfId="0" applyFont="1" applyFill="1" applyBorder="1" applyAlignment="1">
      <alignment horizontal="center" vertical="center"/>
    </xf>
    <xf numFmtId="0" fontId="25" fillId="10" borderId="38" xfId="0" applyFont="1" applyFill="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5" fillId="9" borderId="22"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9" borderId="37"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0" fillId="0" borderId="10" xfId="0" applyFont="1" applyBorder="1"/>
    <xf numFmtId="0" fontId="20" fillId="0" borderId="12" xfId="0" applyFont="1" applyBorder="1"/>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0" fillId="9" borderId="8" xfId="0" applyFont="1" applyFill="1" applyBorder="1" applyAlignment="1">
      <alignment horizontal="left" vertical="center"/>
    </xf>
    <xf numFmtId="0" fontId="20" fillId="9" borderId="9" xfId="0" applyFont="1" applyFill="1" applyBorder="1" applyAlignment="1">
      <alignment horizontal="left" vertical="center"/>
    </xf>
    <xf numFmtId="0" fontId="12" fillId="8" borderId="8" xfId="0" applyFont="1" applyFill="1" applyBorder="1" applyAlignment="1">
      <alignment horizontal="left" vertical="center" wrapText="1"/>
    </xf>
    <xf numFmtId="0" fontId="12" fillId="8" borderId="39" xfId="0" applyFont="1" applyFill="1" applyBorder="1" applyAlignment="1">
      <alignment horizontal="left" vertical="center" wrapText="1"/>
    </xf>
    <xf numFmtId="0" fontId="12" fillId="9" borderId="8" xfId="0" applyFont="1" applyFill="1" applyBorder="1" applyAlignment="1">
      <alignment horizontal="left" vertical="center" wrapText="1"/>
    </xf>
    <xf numFmtId="0" fontId="12" fillId="9" borderId="9" xfId="0" applyFont="1" applyFill="1" applyBorder="1" applyAlignment="1">
      <alignment horizontal="left" vertical="center" wrapText="1"/>
    </xf>
    <xf numFmtId="0" fontId="20" fillId="8" borderId="8" xfId="0" applyFont="1" applyFill="1" applyBorder="1" applyAlignment="1">
      <alignment horizontal="left" vertical="center"/>
    </xf>
    <xf numFmtId="0" fontId="20" fillId="8" borderId="39" xfId="0" applyFont="1" applyFill="1" applyBorder="1" applyAlignment="1">
      <alignment horizontal="left" vertical="center"/>
    </xf>
    <xf numFmtId="0" fontId="20" fillId="8" borderId="9" xfId="0" applyFont="1" applyFill="1" applyBorder="1" applyAlignment="1">
      <alignment horizontal="left" vertical="center"/>
    </xf>
    <xf numFmtId="0" fontId="13" fillId="0" borderId="10" xfId="0" applyFont="1" applyBorder="1" applyAlignment="1">
      <alignment horizontal="center"/>
    </xf>
    <xf numFmtId="0" fontId="23" fillId="0" borderId="11" xfId="0" applyFont="1" applyBorder="1" applyAlignment="1">
      <alignment horizontal="center"/>
    </xf>
    <xf numFmtId="2" fontId="20" fillId="5" borderId="8" xfId="0" applyNumberFormat="1" applyFont="1" applyFill="1" applyBorder="1" applyAlignment="1">
      <alignment horizontal="center" vertical="center"/>
    </xf>
    <xf numFmtId="2" fontId="20" fillId="5" borderId="39" xfId="0" applyNumberFormat="1" applyFont="1" applyFill="1" applyBorder="1" applyAlignment="1">
      <alignment horizontal="center" vertical="center"/>
    </xf>
    <xf numFmtId="2" fontId="20" fillId="5" borderId="9" xfId="0" applyNumberFormat="1" applyFont="1" applyFill="1" applyBorder="1" applyAlignment="1">
      <alignment horizontal="center" vertical="center"/>
    </xf>
    <xf numFmtId="0" fontId="24" fillId="0" borderId="22" xfId="0" applyFont="1" applyBorder="1" applyAlignment="1">
      <alignment horizontal="center" vertical="center"/>
    </xf>
    <xf numFmtId="0" fontId="24" fillId="0" borderId="21" xfId="0" applyFont="1" applyBorder="1" applyAlignment="1">
      <alignment horizontal="center"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0" fillId="11" borderId="7" xfId="0" applyFont="1" applyFill="1" applyBorder="1" applyAlignment="1">
      <alignment horizontal="center" vertical="center"/>
    </xf>
    <xf numFmtId="0" fontId="20" fillId="5" borderId="7" xfId="0" applyFont="1" applyFill="1" applyBorder="1" applyAlignment="1">
      <alignment horizontal="center" vertical="center"/>
    </xf>
    <xf numFmtId="0" fontId="12" fillId="8" borderId="9" xfId="0" applyFont="1" applyFill="1" applyBorder="1" applyAlignment="1">
      <alignment horizontal="left" vertical="center" wrapText="1"/>
    </xf>
    <xf numFmtId="0" fontId="25" fillId="11" borderId="22" xfId="0" applyFont="1" applyFill="1" applyBorder="1" applyAlignment="1">
      <alignment horizontal="center" vertical="center"/>
    </xf>
    <xf numFmtId="0" fontId="25" fillId="11" borderId="21" xfId="0" applyFont="1" applyFill="1" applyBorder="1" applyAlignment="1">
      <alignment horizontal="center" vertical="center"/>
    </xf>
    <xf numFmtId="0" fontId="25" fillId="11" borderId="37" xfId="0" applyFont="1" applyFill="1" applyBorder="1" applyAlignment="1">
      <alignment horizontal="center" vertical="center"/>
    </xf>
    <xf numFmtId="0" fontId="25" fillId="11" borderId="38" xfId="0" applyFont="1" applyFill="1" applyBorder="1" applyAlignment="1">
      <alignment horizontal="center" vertical="center"/>
    </xf>
    <xf numFmtId="0" fontId="11" fillId="7" borderId="11" xfId="0" applyFont="1" applyFill="1" applyBorder="1" applyAlignment="1" applyProtection="1">
      <alignment vertical="center"/>
      <protection locked="0"/>
    </xf>
    <xf numFmtId="0" fontId="11" fillId="7" borderId="12" xfId="0" applyFont="1" applyFill="1" applyBorder="1" applyAlignment="1" applyProtection="1">
      <alignment vertical="center"/>
      <protection locked="0"/>
    </xf>
    <xf numFmtId="14" fontId="11" fillId="7" borderId="11" xfId="0" applyNumberFormat="1" applyFont="1" applyFill="1" applyBorder="1" applyAlignment="1" applyProtection="1">
      <alignment horizontal="center" vertical="center"/>
      <protection locked="0"/>
    </xf>
    <xf numFmtId="0" fontId="11" fillId="7" borderId="11"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9" fillId="12" borderId="8" xfId="0" applyFont="1" applyFill="1" applyBorder="1" applyAlignment="1">
      <alignment horizontal="center" vertical="center"/>
    </xf>
    <xf numFmtId="0" fontId="9" fillId="12" borderId="9"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9" fillId="12" borderId="8" xfId="0" applyFont="1" applyFill="1" applyBorder="1" applyAlignment="1">
      <alignment horizontal="center" vertical="center" wrapText="1"/>
    </xf>
    <xf numFmtId="0" fontId="9" fillId="12" borderId="9"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12" fillId="10" borderId="8" xfId="0" applyFont="1" applyFill="1" applyBorder="1" applyAlignment="1">
      <alignment horizontal="left" vertical="center"/>
    </xf>
    <xf numFmtId="0" fontId="12" fillId="10" borderId="39" xfId="0" applyFont="1" applyFill="1" applyBorder="1" applyAlignment="1">
      <alignment horizontal="left" vertical="center"/>
    </xf>
    <xf numFmtId="0" fontId="12" fillId="10" borderId="9" xfId="0" applyFont="1" applyFill="1" applyBorder="1" applyAlignment="1">
      <alignment horizontal="left" vertical="center"/>
    </xf>
    <xf numFmtId="0" fontId="12" fillId="5" borderId="8" xfId="0" applyFont="1" applyFill="1" applyBorder="1" applyAlignment="1">
      <alignment horizontal="left" vertical="center"/>
    </xf>
    <xf numFmtId="0" fontId="12" fillId="5" borderId="39" xfId="0" applyFont="1" applyFill="1" applyBorder="1" applyAlignment="1">
      <alignment horizontal="left" vertical="center"/>
    </xf>
    <xf numFmtId="0" fontId="12" fillId="5" borderId="9" xfId="0" applyFont="1" applyFill="1" applyBorder="1" applyAlignment="1">
      <alignment horizontal="left" vertical="center"/>
    </xf>
    <xf numFmtId="0" fontId="15" fillId="9" borderId="10" xfId="0" applyFont="1" applyFill="1" applyBorder="1" applyAlignment="1">
      <alignment horizontal="center" vertical="center"/>
    </xf>
    <xf numFmtId="0" fontId="15" fillId="9" borderId="12" xfId="0" applyFont="1" applyFill="1" applyBorder="1" applyAlignment="1">
      <alignment horizontal="center" vertical="center"/>
    </xf>
    <xf numFmtId="0" fontId="12" fillId="11" borderId="8" xfId="0" applyFont="1" applyFill="1" applyBorder="1" applyAlignment="1">
      <alignment horizontal="center" vertical="center"/>
    </xf>
    <xf numFmtId="0" fontId="12" fillId="11" borderId="9" xfId="0" applyFont="1" applyFill="1" applyBorder="1" applyAlignment="1">
      <alignment horizontal="center" vertical="center"/>
    </xf>
    <xf numFmtId="0" fontId="9" fillId="0" borderId="7" xfId="0" applyFont="1" applyBorder="1" applyAlignment="1">
      <alignment horizontal="center"/>
    </xf>
    <xf numFmtId="0" fontId="15" fillId="11" borderId="7" xfId="0" applyFont="1" applyFill="1" applyBorder="1" applyAlignment="1">
      <alignment horizontal="center" vertical="center"/>
    </xf>
    <xf numFmtId="0" fontId="15" fillId="8" borderId="7" xfId="0" applyFont="1" applyFill="1" applyBorder="1" applyAlignment="1">
      <alignment horizontal="center" vertical="center"/>
    </xf>
    <xf numFmtId="0" fontId="15" fillId="10" borderId="7" xfId="0" applyFont="1" applyFill="1" applyBorder="1" applyAlignment="1">
      <alignment horizontal="center" vertical="center"/>
    </xf>
    <xf numFmtId="0" fontId="15" fillId="5" borderId="7" xfId="0" applyFont="1" applyFill="1" applyBorder="1" applyAlignment="1">
      <alignment horizontal="center" vertical="center"/>
    </xf>
    <xf numFmtId="0" fontId="28" fillId="0" borderId="0" xfId="0" applyFont="1" applyAlignment="1">
      <alignment horizontal="center"/>
    </xf>
    <xf numFmtId="0" fontId="28" fillId="0" borderId="1" xfId="0" applyFont="1" applyBorder="1" applyAlignment="1">
      <alignment horizontal="left" vertical="center" wrapText="1"/>
    </xf>
    <xf numFmtId="0" fontId="28" fillId="0" borderId="41" xfId="0" applyFont="1" applyBorder="1" applyAlignment="1">
      <alignment horizontal="left" vertical="center" wrapText="1"/>
    </xf>
    <xf numFmtId="0" fontId="0" fillId="0" borderId="1" xfId="0" applyBorder="1" applyAlignment="1">
      <alignment horizontal="left" vertical="center" wrapText="1"/>
    </xf>
    <xf numFmtId="0" fontId="28" fillId="0" borderId="1"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0" xfId="0" applyFont="1" applyAlignment="1"/>
    <xf numFmtId="0" fontId="29" fillId="0" borderId="0" xfId="0" applyFont="1" applyAlignment="1">
      <alignment horizontal="center" vertical="center"/>
    </xf>
    <xf numFmtId="0" fontId="8" fillId="0" borderId="0" xfId="0" applyFont="1" applyAlignment="1"/>
  </cellXfs>
  <cellStyles count="5">
    <cellStyle name="Hyperlink" xfId="3" builtinId="8"/>
    <cellStyle name="Normal" xfId="0" builtinId="0"/>
    <cellStyle name="Normal 2" xfId="1"/>
    <cellStyle name="Normal 3" xfId="4"/>
    <cellStyle name="Percent" xfId="2" builtinId="5"/>
  </cellStyles>
  <dxfs count="84">
    <dxf>
      <font>
        <color theme="0"/>
      </font>
    </dxf>
    <dxf>
      <font>
        <color theme="0"/>
      </font>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030A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7030A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7030A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7030A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s>
  <tableStyles count="0" defaultTableStyle="TableStyleMedium2" defaultPivotStyle="PivotStyleLight16"/>
  <colors>
    <mruColors>
      <color rgb="FF252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Overall Condition</a:t>
            </a:r>
            <a:r>
              <a:rPr lang="en-US" sz="2000" baseline="0"/>
              <a:t> Score Tracking</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'Data Summary'!$C$20:$C$21</c:f>
              <c:strCache>
                <c:ptCount val="1"/>
                <c:pt idx="0">
                  <c:v>ECS</c:v>
                </c:pt>
              </c:strCache>
            </c:strRef>
          </c:tx>
          <c:spPr>
            <a:ln w="19050" cap="rnd">
              <a:solidFill>
                <a:srgbClr val="FF0000">
                  <a:alpha val="50000"/>
                </a:srgbClr>
              </a:solidFill>
              <a:prstDash val="dash"/>
              <a:round/>
            </a:ln>
            <a:effectLst/>
          </c:spPr>
          <c:marker>
            <c:symbol val="none"/>
          </c:marker>
          <c:xVal>
            <c:numRef>
              <c:f>('Data Summary'!$F$21,'Data Summary'!$A$32)</c:f>
              <c:numCache>
                <c:formatCode>General</c:formatCode>
                <c:ptCount val="2"/>
                <c:pt idx="0">
                  <c:v>1</c:v>
                </c:pt>
                <c:pt idx="1">
                  <c:v>10</c:v>
                </c:pt>
              </c:numCache>
            </c:numRef>
          </c:xVal>
          <c:yVal>
            <c:numRef>
              <c:f>('Data Summary'!$C$27,'Data Summary'!$C$27)</c:f>
              <c:numCache>
                <c:formatCode>0.00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0-377C-4EA9-9858-DD24FD97EF7F}"/>
            </c:ext>
          </c:extLst>
        </c:ser>
        <c:ser>
          <c:idx val="2"/>
          <c:order val="1"/>
          <c:tx>
            <c:strRef>
              <c:f>'Data Summary'!$D$20:$D$21</c:f>
              <c:strCache>
                <c:ptCount val="1"/>
                <c:pt idx="0">
                  <c:v>PCS</c:v>
                </c:pt>
              </c:strCache>
            </c:strRef>
          </c:tx>
          <c:spPr>
            <a:ln w="19050" cap="rnd">
              <a:solidFill>
                <a:srgbClr val="00B0F0"/>
              </a:solidFill>
              <a:round/>
            </a:ln>
            <a:effectLst/>
          </c:spPr>
          <c:marker>
            <c:symbol val="none"/>
          </c:marker>
          <c:xVal>
            <c:numRef>
              <c:f>('Data Summary'!$F$21,'Data Summary'!$A$32)</c:f>
              <c:numCache>
                <c:formatCode>General</c:formatCode>
                <c:ptCount val="2"/>
                <c:pt idx="0">
                  <c:v>1</c:v>
                </c:pt>
                <c:pt idx="1">
                  <c:v>10</c:v>
                </c:pt>
              </c:numCache>
            </c:numRef>
          </c:xVal>
          <c:yVal>
            <c:numRef>
              <c:f>('Data Summary'!$D$27,'Data Summary'!$D$27)</c:f>
              <c:numCache>
                <c:formatCode>0.00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1-377C-4EA9-9858-DD24FD97EF7F}"/>
            </c:ext>
          </c:extLst>
        </c:ser>
        <c:ser>
          <c:idx val="3"/>
          <c:order val="2"/>
          <c:tx>
            <c:strRef>
              <c:f>'Data Summary'!$E$20:$E$21</c:f>
              <c:strCache>
                <c:ptCount val="1"/>
                <c:pt idx="0">
                  <c:v>As-Built</c:v>
                </c:pt>
              </c:strCache>
            </c:strRef>
          </c:tx>
          <c:spPr>
            <a:ln w="38100" cap="rnd" cmpd="dbl">
              <a:solidFill>
                <a:schemeClr val="bg2">
                  <a:lumMod val="75000"/>
                </a:schemeClr>
              </a:solidFill>
              <a:prstDash val="dash"/>
              <a:round/>
            </a:ln>
            <a:effectLst/>
          </c:spPr>
          <c:marker>
            <c:symbol val="none"/>
          </c:marker>
          <c:xVal>
            <c:numRef>
              <c:f>('Data Summary'!$F$21,'Data Summary'!$A$32)</c:f>
              <c:numCache>
                <c:formatCode>General</c:formatCode>
                <c:ptCount val="2"/>
                <c:pt idx="0">
                  <c:v>1</c:v>
                </c:pt>
                <c:pt idx="1">
                  <c:v>10</c:v>
                </c:pt>
              </c:numCache>
            </c:numRef>
          </c:xVal>
          <c:yVal>
            <c:numRef>
              <c:f>('Data Summary'!$E$27,'Data Summary'!$E$27)</c:f>
              <c:numCache>
                <c:formatCode>0.00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2-377C-4EA9-9858-DD24FD97EF7F}"/>
            </c:ext>
          </c:extLst>
        </c:ser>
        <c:ser>
          <c:idx val="0"/>
          <c:order val="3"/>
          <c:tx>
            <c:v>Monitoring Data</c:v>
          </c:tx>
          <c:spPr>
            <a:ln w="28575" cap="rnd">
              <a:solidFill>
                <a:schemeClr val="tx1"/>
              </a:solidFill>
              <a:round/>
            </a:ln>
            <a:effectLst/>
          </c:spPr>
          <c:marker>
            <c:symbol val="none"/>
          </c:marker>
          <c:xVal>
            <c:numRef>
              <c:f>'Data Summary'!$F$21:$O$21</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Summary'!$F$27:$O$27</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0-D029-4D92-AEAF-A8311BD790D4}"/>
            </c:ext>
          </c:extLst>
        </c:ser>
        <c:dLbls>
          <c:showLegendKey val="0"/>
          <c:showVal val="0"/>
          <c:showCatName val="0"/>
          <c:showSerName val="0"/>
          <c:showPercent val="0"/>
          <c:showBubbleSize val="0"/>
        </c:dLbls>
        <c:axId val="393750144"/>
        <c:axId val="393744656"/>
      </c:scatterChart>
      <c:valAx>
        <c:axId val="393750144"/>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Monitoring Year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93744656"/>
        <c:crosses val="autoZero"/>
        <c:crossBetween val="midCat"/>
      </c:valAx>
      <c:valAx>
        <c:axId val="39374465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Condition Score</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9375014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0" i="0" baseline="0">
                <a:effectLst/>
              </a:rPr>
              <a:t>Pool Spacing Ratio for A and B Stream Types</a:t>
            </a:r>
            <a:endParaRPr lang="en-US" sz="1600">
              <a:effectLst/>
            </a:endParaRPr>
          </a:p>
        </c:rich>
      </c:tx>
      <c:layout>
        <c:manualLayout>
          <c:xMode val="edge"/>
          <c:yMode val="edge"/>
          <c:x val="0.2071894055085757"/>
          <c:y val="2.730494842762935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v>Series 1</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1"/>
            <c:trendlineLbl>
              <c:layout>
                <c:manualLayout>
                  <c:x val="-0.22280498193889869"/>
                  <c:y val="-0.23290317401258093"/>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Curves'!$S$173:$X$173</c:f>
              <c:numCache>
                <c:formatCode>General</c:formatCode>
                <c:ptCount val="6"/>
                <c:pt idx="0" formatCode="0.0">
                  <c:v>6.5</c:v>
                </c:pt>
                <c:pt idx="4" formatCode="0.0">
                  <c:v>5</c:v>
                </c:pt>
                <c:pt idx="5" formatCode="0.0">
                  <c:v>4</c:v>
                </c:pt>
              </c:numCache>
            </c:numRef>
          </c:xVal>
          <c:yVal>
            <c:numRef>
              <c:f>'Reference Curves'!$S$174:$X$174</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3F89-4AE3-A340-207A3C2A9FF9}"/>
            </c:ext>
          </c:extLst>
        </c:ser>
        <c:dLbls>
          <c:showLegendKey val="0"/>
          <c:showVal val="0"/>
          <c:showCatName val="0"/>
          <c:showSerName val="0"/>
          <c:showPercent val="0"/>
          <c:showBubbleSize val="0"/>
        </c:dLbls>
        <c:axId val="398448352"/>
        <c:axId val="398449528"/>
      </c:scatterChart>
      <c:valAx>
        <c:axId val="3984483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(Ratio)</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49528"/>
        <c:crosses val="autoZero"/>
        <c:crossBetween val="midCat"/>
      </c:valAx>
      <c:valAx>
        <c:axId val="398449528"/>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483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Pool Spacing Ratio for C and E </a:t>
            </a:r>
            <a:r>
              <a:rPr lang="en-US" sz="1600" baseline="0"/>
              <a:t>Stream Types</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Rising Limb</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5.5329068273398237E-2"/>
                  <c:y val="0.16043736432438069"/>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Curves'!$S$237:$X$237</c:f>
              <c:numCache>
                <c:formatCode>General</c:formatCode>
                <c:ptCount val="6"/>
                <c:pt idx="0" formatCode="0.0">
                  <c:v>1</c:v>
                </c:pt>
                <c:pt idx="5" formatCode="0.0">
                  <c:v>3.5</c:v>
                </c:pt>
              </c:numCache>
            </c:numRef>
          </c:xVal>
          <c:yVal>
            <c:numRef>
              <c:f>'Reference Curves'!$S$239:$X$239</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ED1E-4832-8408-8CBD3FC589E3}"/>
            </c:ext>
          </c:extLst>
        </c:ser>
        <c:ser>
          <c:idx val="1"/>
          <c:order val="1"/>
          <c:tx>
            <c:v>Falling Limb</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8.6698026986658988E-2"/>
                  <c:y val="-0.51133774632140128"/>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Curves'!$S$238:$X$238</c:f>
              <c:numCache>
                <c:formatCode>General</c:formatCode>
                <c:ptCount val="6"/>
                <c:pt idx="0" formatCode="0.0">
                  <c:v>9</c:v>
                </c:pt>
                <c:pt idx="5" formatCode="0.0">
                  <c:v>6</c:v>
                </c:pt>
              </c:numCache>
            </c:numRef>
          </c:xVal>
          <c:yVal>
            <c:numRef>
              <c:f>'Reference Curves'!$S$239:$X$239</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8AA4-4E0C-8114-2D9E850C5DD4}"/>
            </c:ext>
          </c:extLst>
        </c:ser>
        <c:ser>
          <c:idx val="2"/>
          <c:order val="2"/>
          <c:tx>
            <c:v>Crest</c:v>
          </c:tx>
          <c:spPr>
            <a:ln w="25400" cap="rnd">
              <a:solidFill>
                <a:schemeClr val="tx1"/>
              </a:solidFill>
              <a:prstDash val="solid"/>
              <a:round/>
            </a:ln>
            <a:effectLst/>
          </c:spPr>
          <c:marker>
            <c:symbol val="none"/>
          </c:marker>
          <c:dPt>
            <c:idx val="0"/>
            <c:marker>
              <c:symbol val="none"/>
            </c:marker>
            <c:bubble3D val="0"/>
            <c:spPr>
              <a:ln w="25400" cap="rnd">
                <a:solidFill>
                  <a:schemeClr val="tx1"/>
                </a:solidFill>
                <a:prstDash val="solid"/>
                <a:round/>
              </a:ln>
              <a:effectLst/>
            </c:spPr>
            <c:extLst xmlns:c16r2="http://schemas.microsoft.com/office/drawing/2015/06/chart">
              <c:ext xmlns:c16="http://schemas.microsoft.com/office/drawing/2014/chart" uri="{C3380CC4-5D6E-409C-BE32-E72D297353CC}">
                <c16:uniqueId val="{00000003-5466-4A04-A7DC-2E2A2431BA88}"/>
              </c:ext>
            </c:extLst>
          </c:dPt>
          <c:xVal>
            <c:numRef>
              <c:f>('Reference Curves'!$X$237,'Reference Curves'!$X$238)</c:f>
              <c:numCache>
                <c:formatCode>0.0</c:formatCode>
                <c:ptCount val="2"/>
                <c:pt idx="0">
                  <c:v>3.5</c:v>
                </c:pt>
                <c:pt idx="1">
                  <c:v>6</c:v>
                </c:pt>
              </c:numCache>
            </c:numRef>
          </c:xVal>
          <c:yVal>
            <c:numRef>
              <c:f>('Reference Curves'!$X$239,'Reference Curves'!$X$239)</c:f>
              <c:numCache>
                <c:formatCode>General</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3-8AA4-4E0C-8114-2D9E850C5DD4}"/>
            </c:ext>
          </c:extLst>
        </c:ser>
        <c:dLbls>
          <c:showLegendKey val="0"/>
          <c:showVal val="0"/>
          <c:showCatName val="0"/>
          <c:showSerName val="0"/>
          <c:showPercent val="0"/>
          <c:showBubbleSize val="0"/>
        </c:dLbls>
        <c:axId val="393746224"/>
        <c:axId val="399804296"/>
      </c:scatterChart>
      <c:valAx>
        <c:axId val="3937462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(Ratio)</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9804296"/>
        <c:crosses val="autoZero"/>
        <c:crossBetween val="midCat"/>
        <c:majorUnit val="1"/>
      </c:valAx>
      <c:valAx>
        <c:axId val="39980429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Index</a:t>
                </a:r>
                <a:r>
                  <a:rPr lang="en-US" sz="1100" baseline="0"/>
                  <a:t> Value</a:t>
                </a:r>
                <a:endParaRPr lang="en-US" sz="110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37462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Pool Depth Ratio</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v>F</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1023504187915445"/>
                  <c:y val="4.9118143414138928E-2"/>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Curves'!$W$271:$X$271</c:f>
              <c:numCache>
                <c:formatCode>0.0</c:formatCode>
                <c:ptCount val="2"/>
                <c:pt idx="0">
                  <c:v>2</c:v>
                </c:pt>
                <c:pt idx="1">
                  <c:v>3</c:v>
                </c:pt>
              </c:numCache>
            </c:numRef>
          </c:xVal>
          <c:yVal>
            <c:numRef>
              <c:f>'Reference Curves'!$W$272:$X$272</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0-6121-4ADE-A1F7-55E2A9FD0207}"/>
            </c:ext>
          </c:extLst>
        </c:ser>
        <c:ser>
          <c:idx val="0"/>
          <c:order val="1"/>
          <c:tx>
            <c:v>NF/FAR</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8.2929263968326589E-2"/>
                  <c:y val="0.12755740949044669"/>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'Reference Curves'!$S$271:$W$271</c:f>
              <c:numCache>
                <c:formatCode>General</c:formatCode>
                <c:ptCount val="5"/>
                <c:pt idx="0" formatCode="0.0">
                  <c:v>1.1000000000000001</c:v>
                </c:pt>
                <c:pt idx="2">
                  <c:v>1.5</c:v>
                </c:pt>
                <c:pt idx="4" formatCode="0.0">
                  <c:v>2</c:v>
                </c:pt>
              </c:numCache>
            </c:numRef>
          </c:xVal>
          <c:yVal>
            <c:numRef>
              <c:f>'Reference Curves'!$S$272:$W$272</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1-E795-4FA4-A294-C8061F842EF8}"/>
            </c:ext>
          </c:extLst>
        </c:ser>
        <c:dLbls>
          <c:showLegendKey val="0"/>
          <c:showVal val="0"/>
          <c:showCatName val="0"/>
          <c:showSerName val="0"/>
          <c:showPercent val="0"/>
          <c:showBubbleSize val="0"/>
        </c:dLbls>
        <c:axId val="399802728"/>
        <c:axId val="399808608"/>
      </c:scatterChart>
      <c:valAx>
        <c:axId val="399802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(Ratio)</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9808608"/>
        <c:crosses val="autoZero"/>
        <c:crossBetween val="midCat"/>
      </c:valAx>
      <c:valAx>
        <c:axId val="399808608"/>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980272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0" i="0" baseline="0">
                <a:effectLst/>
              </a:rPr>
              <a:t>Aggradation Ratio </a:t>
            </a:r>
            <a:endParaRPr lang="en-US" sz="1600">
              <a:effectLst/>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0"/>
            <c:dispEq val="1"/>
            <c:trendlineLbl>
              <c:layout>
                <c:manualLayout>
                  <c:x val="0.11834484201967932"/>
                  <c:y val="-0.45858011020373984"/>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Curves'!$S$371:$X$371</c:f>
              <c:numCache>
                <c:formatCode>General</c:formatCode>
                <c:ptCount val="6"/>
                <c:pt idx="0">
                  <c:v>1.6</c:v>
                </c:pt>
                <c:pt idx="2">
                  <c:v>1.4</c:v>
                </c:pt>
                <c:pt idx="3">
                  <c:v>1.2</c:v>
                </c:pt>
                <c:pt idx="5">
                  <c:v>1</c:v>
                </c:pt>
              </c:numCache>
            </c:numRef>
          </c:xVal>
          <c:yVal>
            <c:numRef>
              <c:f>'Reference Curves'!$S$372:$X$372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0685-4A88-A253-CC374FDFCA12}"/>
            </c:ext>
          </c:extLst>
        </c:ser>
        <c:dLbls>
          <c:showLegendKey val="0"/>
          <c:showVal val="0"/>
          <c:showCatName val="0"/>
          <c:showSerName val="0"/>
          <c:showPercent val="0"/>
          <c:showBubbleSize val="0"/>
        </c:dLbls>
        <c:axId val="399805080"/>
        <c:axId val="399801552"/>
      </c:scatterChart>
      <c:valAx>
        <c:axId val="399805080"/>
        <c:scaling>
          <c:orientation val="minMax"/>
          <c:max val="1.8"/>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a:t>
                </a:r>
                <a:r>
                  <a:rPr lang="en-US" sz="1100" b="0" i="0" u="none" strike="noStrike" baseline="0">
                    <a:effectLst/>
                  </a:rPr>
                  <a:t>(Ratio)</a:t>
                </a:r>
                <a:endParaRPr lang="en-US" sz="1100"/>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9801552"/>
        <c:crosses val="autoZero"/>
        <c:crossBetween val="midCat"/>
      </c:valAx>
      <c:valAx>
        <c:axId val="39980155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980508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Percent Riffle for A and B Stream</a:t>
            </a:r>
            <a:r>
              <a:rPr lang="en-US" sz="1600" baseline="0"/>
              <a:t> Types</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Rising Limb</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backward val="27"/>
            <c:dispRSqr val="0"/>
            <c:dispEq val="1"/>
            <c:trendlineLbl>
              <c:layout>
                <c:manualLayout>
                  <c:x val="-0.13676936820288435"/>
                  <c:y val="0.22997008426909571"/>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'Reference Curves'!$S$304:$X$304</c:f>
              <c:numCache>
                <c:formatCode>General</c:formatCode>
                <c:ptCount val="6"/>
                <c:pt idx="0" formatCode="0">
                  <c:v>20</c:v>
                </c:pt>
                <c:pt idx="5" formatCode="0">
                  <c:v>50</c:v>
                </c:pt>
              </c:numCache>
            </c:numRef>
          </c:xVal>
          <c:yVal>
            <c:numRef>
              <c:f>'Reference Curves'!$S$306:$X$306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12A8-4C81-9017-6694A81055E9}"/>
            </c:ext>
          </c:extLst>
        </c:ser>
        <c:ser>
          <c:idx val="1"/>
          <c:order val="1"/>
          <c:tx>
            <c:v>Falling Limb</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forward val="5"/>
            <c:dispRSqr val="0"/>
            <c:dispEq val="1"/>
            <c:trendlineLbl>
              <c:layout>
                <c:manualLayout>
                  <c:x val="4.8440386918314093E-2"/>
                  <c:y val="-0.49382906389394821"/>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Curves'!$S$305:$X$305</c:f>
              <c:numCache>
                <c:formatCode>General</c:formatCode>
                <c:ptCount val="6"/>
                <c:pt idx="0" formatCode="0">
                  <c:v>90</c:v>
                </c:pt>
                <c:pt idx="5" formatCode="0">
                  <c:v>60</c:v>
                </c:pt>
              </c:numCache>
            </c:numRef>
          </c:xVal>
          <c:yVal>
            <c:numRef>
              <c:f>'Reference Curves'!$S$306:$X$306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0E53-4C23-8B88-B8B9985A029B}"/>
            </c:ext>
          </c:extLst>
        </c:ser>
        <c:ser>
          <c:idx val="2"/>
          <c:order val="2"/>
          <c:tx>
            <c:v>Crest</c:v>
          </c:tx>
          <c:spPr>
            <a:ln w="25400" cap="rnd">
              <a:solidFill>
                <a:schemeClr val="tx1"/>
              </a:solidFill>
              <a:prstDash val="sysDash"/>
              <a:round/>
            </a:ln>
            <a:effectLst/>
          </c:spPr>
          <c:marker>
            <c:symbol val="none"/>
          </c:marker>
          <c:trendline>
            <c:spPr>
              <a:ln w="19050" cap="rnd">
                <a:solidFill>
                  <a:schemeClr val="tx1"/>
                </a:solidFill>
                <a:prstDash val="solid"/>
              </a:ln>
              <a:effectLst/>
            </c:spPr>
            <c:trendlineType val="linear"/>
            <c:dispRSqr val="0"/>
            <c:dispEq val="0"/>
          </c:trendline>
          <c:xVal>
            <c:numRef>
              <c:f>'Reference Curves'!$X$304:$X$305</c:f>
              <c:numCache>
                <c:formatCode>0</c:formatCode>
                <c:ptCount val="2"/>
                <c:pt idx="0">
                  <c:v>50</c:v>
                </c:pt>
                <c:pt idx="1">
                  <c:v>60</c:v>
                </c:pt>
              </c:numCache>
            </c:numRef>
          </c:xVal>
          <c:yVal>
            <c:numRef>
              <c:f>('Reference Curves'!$X$306,'Reference Curves'!$X$306)</c:f>
              <c:numCache>
                <c:formatCode>General</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2-720D-4D55-8B7E-BCFADBCE7ED1}"/>
            </c:ext>
          </c:extLst>
        </c:ser>
        <c:dLbls>
          <c:showLegendKey val="0"/>
          <c:showVal val="0"/>
          <c:showCatName val="0"/>
          <c:showSerName val="0"/>
          <c:showPercent val="0"/>
          <c:showBubbleSize val="0"/>
        </c:dLbls>
        <c:axId val="399806256"/>
        <c:axId val="399803120"/>
      </c:scatterChart>
      <c:valAx>
        <c:axId val="399806256"/>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9803120"/>
        <c:crosses val="autoZero"/>
        <c:crossBetween val="midCat"/>
        <c:majorUnit val="10"/>
        <c:minorUnit val="5"/>
      </c:valAx>
      <c:valAx>
        <c:axId val="399803120"/>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9806256"/>
        <c:crosses val="autoZero"/>
        <c:crossBetween val="midCat"/>
      </c:valAx>
      <c:spPr>
        <a:noFill/>
        <a:ln>
          <a:solidFill>
            <a:schemeClr val="tx1"/>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Percent Riffle for C and E Stream Types</a:t>
            </a:r>
          </a:p>
        </c:rich>
      </c:tx>
      <c:layout>
        <c:manualLayout>
          <c:xMode val="edge"/>
          <c:yMode val="edge"/>
          <c:x val="0.26547633324907888"/>
          <c:y val="2.3591773158599411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Rising Limb</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backward val="25"/>
            <c:dispRSqr val="0"/>
            <c:dispEq val="1"/>
            <c:trendlineLbl>
              <c:layout>
                <c:manualLayout>
                  <c:x val="-0.14588979628071896"/>
                  <c:y val="0.14348200355453386"/>
                </c:manualLayout>
              </c:layout>
              <c:numFmt formatCode="#,##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'Reference Curves'!$S$337:$X$337</c:f>
              <c:numCache>
                <c:formatCode>General</c:formatCode>
                <c:ptCount val="6"/>
                <c:pt idx="0" formatCode="0">
                  <c:v>20</c:v>
                </c:pt>
                <c:pt idx="5">
                  <c:v>45</c:v>
                </c:pt>
              </c:numCache>
            </c:numRef>
          </c:xVal>
          <c:yVal>
            <c:numRef>
              <c:f>'Reference Curves'!$S$339:$X$339</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33CC-400E-91D8-8DB0C3E7DC9D}"/>
            </c:ext>
          </c:extLst>
        </c:ser>
        <c:ser>
          <c:idx val="1"/>
          <c:order val="1"/>
          <c:tx>
            <c:v>Falling Limb</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forward val="21"/>
            <c:dispRSqr val="0"/>
            <c:dispEq val="1"/>
            <c:trendlineLbl>
              <c:layout>
                <c:manualLayout>
                  <c:x val="-5.3386282591173541E-2"/>
                  <c:y val="-0.51617966858411068"/>
                </c:manualLayout>
              </c:layout>
              <c:numFmt formatCode="#,##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Curves'!$S$338:$X$338</c:f>
              <c:numCache>
                <c:formatCode>General</c:formatCode>
                <c:ptCount val="6"/>
                <c:pt idx="0" formatCode="0">
                  <c:v>85</c:v>
                </c:pt>
                <c:pt idx="5">
                  <c:v>65</c:v>
                </c:pt>
              </c:numCache>
            </c:numRef>
          </c:xVal>
          <c:yVal>
            <c:numRef>
              <c:f>'Reference Curves'!$S$339:$X$339</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33CC-400E-91D8-8DB0C3E7DC9D}"/>
            </c:ext>
          </c:extLst>
        </c:ser>
        <c:ser>
          <c:idx val="2"/>
          <c:order val="2"/>
          <c:tx>
            <c:v>Crest</c:v>
          </c:tx>
          <c:spPr>
            <a:ln w="25400" cap="rnd">
              <a:solidFill>
                <a:schemeClr val="tx1"/>
              </a:solidFill>
              <a:prstDash val="solid"/>
              <a:round/>
            </a:ln>
            <a:effectLst/>
          </c:spPr>
          <c:marker>
            <c:symbol val="none"/>
          </c:marker>
          <c:trendline>
            <c:spPr>
              <a:ln w="22225" cap="rnd">
                <a:solidFill>
                  <a:schemeClr val="tx1"/>
                </a:solidFill>
                <a:prstDash val="solid"/>
              </a:ln>
              <a:effectLst/>
            </c:spPr>
            <c:trendlineType val="linear"/>
            <c:dispRSqr val="0"/>
            <c:dispEq val="0"/>
          </c:trendline>
          <c:xVal>
            <c:numRef>
              <c:f>'Reference Curves'!$X$337:$X$338</c:f>
              <c:numCache>
                <c:formatCode>General</c:formatCode>
                <c:ptCount val="2"/>
                <c:pt idx="0">
                  <c:v>45</c:v>
                </c:pt>
                <c:pt idx="1">
                  <c:v>65</c:v>
                </c:pt>
              </c:numCache>
            </c:numRef>
          </c:xVal>
          <c:yVal>
            <c:numRef>
              <c:f>('Reference Curves'!$X$339,'Reference Curves'!$X$339)</c:f>
              <c:numCache>
                <c:formatCode>General</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0-FA7A-475D-A63F-B00735B9BBEC}"/>
            </c:ext>
          </c:extLst>
        </c:ser>
        <c:dLbls>
          <c:showLegendKey val="0"/>
          <c:showVal val="0"/>
          <c:showCatName val="0"/>
          <c:showSerName val="0"/>
          <c:showPercent val="0"/>
          <c:showBubbleSize val="0"/>
        </c:dLbls>
        <c:axId val="399806648"/>
        <c:axId val="399803512"/>
      </c:scatterChart>
      <c:valAx>
        <c:axId val="399806648"/>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9803512"/>
        <c:crosses val="autoZero"/>
        <c:crossBetween val="midCat"/>
        <c:majorUnit val="10"/>
        <c:minorUnit val="5"/>
      </c:valAx>
      <c:valAx>
        <c:axId val="39980351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a:t>
                </a:r>
                <a:r>
                  <a:rPr lang="en-US" sz="1100" baseline="0"/>
                  <a:t> Value</a:t>
                </a:r>
                <a:endParaRPr lang="en-US"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9806648"/>
        <c:crosses val="autoZero"/>
        <c:crossBetween val="midCat"/>
      </c:valAx>
      <c:spPr>
        <a:noFill/>
        <a:ln>
          <a:solidFill>
            <a:schemeClr val="tx1"/>
          </a:solidFill>
          <a:prstDash val="solid"/>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Riffle for B, C and E Streams &lt; 3% slope and Percent Riffle &gt;=60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52456070937341359"/>
                  <c:y val="-0.1776675096258496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Stds'!#REF!</c:f>
            </c:numRef>
          </c:xVal>
          <c:yVal>
            <c:numRef>
              <c:f>'Performance Stds'!#REF!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0-1CCE-4783-8506-AA46E4409ADE}"/>
            </c:ext>
          </c:extLst>
        </c:ser>
        <c:dLbls>
          <c:showLegendKey val="0"/>
          <c:showVal val="0"/>
          <c:showCatName val="0"/>
          <c:showSerName val="0"/>
          <c:showPercent val="0"/>
          <c:showBubbleSize val="0"/>
        </c:dLbls>
        <c:axId val="399809000"/>
        <c:axId val="399807432"/>
      </c:scatterChart>
      <c:valAx>
        <c:axId val="399809000"/>
        <c:scaling>
          <c:orientation val="minMax"/>
          <c:min val="7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807432"/>
        <c:crosses val="autoZero"/>
        <c:crossBetween val="midCat"/>
      </c:valAx>
      <c:valAx>
        <c:axId val="3998074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8090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Riffle for A</a:t>
            </a:r>
            <a:r>
              <a:rPr lang="en-US" baseline="0"/>
              <a:t> and B</a:t>
            </a:r>
            <a:r>
              <a:rPr lang="en-US"/>
              <a:t> Streams and Percent Riffle &gt;70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57622122197586678"/>
                  <c:y val="-7.6397433403473824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Stds'!#REF!</c:f>
            </c:numRef>
          </c:xVal>
          <c:yVal>
            <c:numRef>
              <c:f>'Performance Stds'!#REF!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0-A234-4278-B36B-2D355F1EA40B}"/>
            </c:ext>
          </c:extLst>
        </c:ser>
        <c:dLbls>
          <c:showLegendKey val="0"/>
          <c:showVal val="0"/>
          <c:showCatName val="0"/>
          <c:showSerName val="0"/>
          <c:showPercent val="0"/>
          <c:showBubbleSize val="0"/>
        </c:dLbls>
        <c:axId val="399801944"/>
        <c:axId val="399808216"/>
      </c:scatterChart>
      <c:valAx>
        <c:axId val="399801944"/>
        <c:scaling>
          <c:orientation val="minMax"/>
          <c:min val="6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808216"/>
        <c:crosses val="autoZero"/>
        <c:crossBetween val="midCat"/>
      </c:valAx>
      <c:valAx>
        <c:axId val="3998082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8019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Riparian</a:t>
            </a:r>
            <a:r>
              <a:rPr lang="en-US" baseline="0"/>
              <a:t> Vegetation Density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62154362696391308"/>
                  <c:y val="8.692740728762538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Stds'!#REF!</c:f>
            </c:numRef>
          </c:xVal>
          <c:yVal>
            <c:numRef>
              <c:f>'Performance Stds'!#REF!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0-7E87-4708-8D6A-0B0F5C65BEC1}"/>
            </c:ext>
          </c:extLst>
        </c:ser>
        <c:dLbls>
          <c:showLegendKey val="0"/>
          <c:showVal val="0"/>
          <c:showCatName val="0"/>
          <c:showSerName val="0"/>
          <c:showPercent val="0"/>
          <c:showBubbleSize val="0"/>
        </c:dLbls>
        <c:axId val="400414432"/>
        <c:axId val="400412472"/>
      </c:scatterChart>
      <c:valAx>
        <c:axId val="400414432"/>
        <c:scaling>
          <c:orientation val="minMax"/>
          <c:min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412472"/>
        <c:crosses val="autoZero"/>
        <c:crossBetween val="midCat"/>
      </c:valAx>
      <c:valAx>
        <c:axId val="4004124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4144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Streambank Erosion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'Reference Curves'!$S$79</c:f>
              <c:strCache>
                <c:ptCount val="1"/>
                <c:pt idx="0">
                  <c:v>NF/FAR</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5.2696415188874532E-3"/>
                  <c:y val="-0.32533589386754874"/>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'Reference Curves'!$S$76:$W$76</c:f>
              <c:numCache>
                <c:formatCode>General</c:formatCode>
                <c:ptCount val="5"/>
                <c:pt idx="0">
                  <c:v>75</c:v>
                </c:pt>
                <c:pt idx="4">
                  <c:v>10</c:v>
                </c:pt>
              </c:numCache>
            </c:numRef>
          </c:xVal>
          <c:yVal>
            <c:numRef>
              <c:f>'Reference Curves'!$S$77:$W$77</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0-5148-4788-A083-43E68337C776}"/>
            </c:ext>
          </c:extLst>
        </c:ser>
        <c:ser>
          <c:idx val="1"/>
          <c:order val="1"/>
          <c:tx>
            <c:strRef>
              <c:f>'Reference Curves'!$T$79</c:f>
              <c:strCache>
                <c:ptCount val="1"/>
                <c:pt idx="0">
                  <c:v>F</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9919561387761267"/>
                  <c:y val="-0.18443863649204537"/>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Curves'!$W$76:$X$76</c:f>
              <c:numCache>
                <c:formatCode>General</c:formatCode>
                <c:ptCount val="2"/>
                <c:pt idx="0">
                  <c:v>10</c:v>
                </c:pt>
                <c:pt idx="1">
                  <c:v>5</c:v>
                </c:pt>
              </c:numCache>
            </c:numRef>
          </c:xVal>
          <c:yVal>
            <c:numRef>
              <c:f>'Reference Curves'!$W$77:$X$77</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1-FA3B-4C74-84DA-06940A6493E0}"/>
            </c:ext>
          </c:extLst>
        </c:ser>
        <c:dLbls>
          <c:showLegendKey val="0"/>
          <c:showVal val="0"/>
          <c:showCatName val="0"/>
          <c:showSerName val="0"/>
          <c:showPercent val="0"/>
          <c:showBubbleSize val="0"/>
        </c:dLbls>
        <c:axId val="400417568"/>
        <c:axId val="400411296"/>
      </c:scatterChart>
      <c:valAx>
        <c:axId val="400417568"/>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411296"/>
        <c:crosses val="autoZero"/>
        <c:crossBetween val="midCat"/>
      </c:valAx>
      <c:valAx>
        <c:axId val="40041129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4175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Functional Feet Score </a:t>
            </a:r>
            <a:r>
              <a:rPr lang="en-US" sz="2000" baseline="0"/>
              <a:t>Tracking</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'Data Summary'!$C$20:$C$21</c:f>
              <c:strCache>
                <c:ptCount val="1"/>
                <c:pt idx="0">
                  <c:v>ECS</c:v>
                </c:pt>
              </c:strCache>
            </c:strRef>
          </c:tx>
          <c:spPr>
            <a:ln w="19050" cap="rnd">
              <a:solidFill>
                <a:srgbClr val="FF0000">
                  <a:alpha val="50000"/>
                </a:srgbClr>
              </a:solidFill>
              <a:prstDash val="dash"/>
              <a:round/>
            </a:ln>
            <a:effectLst/>
          </c:spPr>
          <c:marker>
            <c:symbol val="none"/>
          </c:marker>
          <c:xVal>
            <c:numRef>
              <c:f>('Data Summary'!$F$21,'Data Summary'!$A$32)</c:f>
              <c:numCache>
                <c:formatCode>General</c:formatCode>
                <c:ptCount val="2"/>
                <c:pt idx="0">
                  <c:v>1</c:v>
                </c:pt>
                <c:pt idx="1">
                  <c:v>10</c:v>
                </c:pt>
              </c:numCache>
            </c:numRef>
          </c:xVal>
          <c:yVal>
            <c:numRef>
              <c:f>('Data Summary'!$C$28,'Data Summary'!$C$28)</c:f>
              <c:numCache>
                <c:formatCode>0.0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1-BF5F-49D1-B7E8-F18A8E0EDA1E}"/>
            </c:ext>
          </c:extLst>
        </c:ser>
        <c:ser>
          <c:idx val="2"/>
          <c:order val="1"/>
          <c:tx>
            <c:strRef>
              <c:f>'Data Summary'!$D$20:$D$21</c:f>
              <c:strCache>
                <c:ptCount val="1"/>
                <c:pt idx="0">
                  <c:v>PCS</c:v>
                </c:pt>
              </c:strCache>
            </c:strRef>
          </c:tx>
          <c:spPr>
            <a:ln w="19050" cap="rnd">
              <a:solidFill>
                <a:srgbClr val="00B0F0"/>
              </a:solidFill>
              <a:round/>
            </a:ln>
            <a:effectLst/>
          </c:spPr>
          <c:marker>
            <c:symbol val="none"/>
          </c:marker>
          <c:xVal>
            <c:numRef>
              <c:f>('Data Summary'!$F$21,'Data Summary'!$A$32)</c:f>
              <c:numCache>
                <c:formatCode>General</c:formatCode>
                <c:ptCount val="2"/>
                <c:pt idx="0">
                  <c:v>1</c:v>
                </c:pt>
                <c:pt idx="1">
                  <c:v>10</c:v>
                </c:pt>
              </c:numCache>
            </c:numRef>
          </c:xVal>
          <c:yVal>
            <c:numRef>
              <c:f>('Data Summary'!$D$28,'Data Summary'!$D$28)</c:f>
              <c:numCache>
                <c:formatCode>0.0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2-BF5F-49D1-B7E8-F18A8E0EDA1E}"/>
            </c:ext>
          </c:extLst>
        </c:ser>
        <c:ser>
          <c:idx val="3"/>
          <c:order val="2"/>
          <c:tx>
            <c:strRef>
              <c:f>'Data Summary'!$E$20:$E$21</c:f>
              <c:strCache>
                <c:ptCount val="1"/>
                <c:pt idx="0">
                  <c:v>As-Built</c:v>
                </c:pt>
              </c:strCache>
            </c:strRef>
          </c:tx>
          <c:spPr>
            <a:ln w="38100" cap="rnd" cmpd="dbl">
              <a:solidFill>
                <a:schemeClr val="bg2">
                  <a:lumMod val="75000"/>
                </a:schemeClr>
              </a:solidFill>
              <a:prstDash val="dash"/>
              <a:round/>
            </a:ln>
            <a:effectLst/>
          </c:spPr>
          <c:marker>
            <c:symbol val="none"/>
          </c:marker>
          <c:xVal>
            <c:numRef>
              <c:f>('Data Summary'!$F$21,'Data Summary'!$A$32)</c:f>
              <c:numCache>
                <c:formatCode>General</c:formatCode>
                <c:ptCount val="2"/>
                <c:pt idx="0">
                  <c:v>1</c:v>
                </c:pt>
                <c:pt idx="1">
                  <c:v>10</c:v>
                </c:pt>
              </c:numCache>
            </c:numRef>
          </c:xVal>
          <c:yVal>
            <c:numRef>
              <c:f>('Data Summary'!$E$28,'Data Summary'!$E$28)</c:f>
              <c:numCache>
                <c:formatCode>0.0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3-BF5F-49D1-B7E8-F18A8E0EDA1E}"/>
            </c:ext>
          </c:extLst>
        </c:ser>
        <c:ser>
          <c:idx val="0"/>
          <c:order val="3"/>
          <c:tx>
            <c:v>Monitoring Data</c:v>
          </c:tx>
          <c:spPr>
            <a:ln w="28575" cap="rnd">
              <a:solidFill>
                <a:schemeClr val="tx1"/>
              </a:solidFill>
              <a:round/>
            </a:ln>
            <a:effectLst/>
          </c:spPr>
          <c:marker>
            <c:symbol val="none"/>
          </c:marker>
          <c:xVal>
            <c:numRef>
              <c:f>'Data Summary'!$F$21:$O$21</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Summary'!$F$28:$O$28</c:f>
              <c:numCache>
                <c:formatCode>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0-BF5F-49D1-B7E8-F18A8E0EDA1E}"/>
            </c:ext>
          </c:extLst>
        </c:ser>
        <c:dLbls>
          <c:showLegendKey val="0"/>
          <c:showVal val="0"/>
          <c:showCatName val="0"/>
          <c:showSerName val="0"/>
          <c:showPercent val="0"/>
          <c:showBubbleSize val="0"/>
        </c:dLbls>
        <c:axId val="393751320"/>
        <c:axId val="393743872"/>
      </c:scatterChart>
      <c:valAx>
        <c:axId val="393751320"/>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Monitoring Year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93743872"/>
        <c:crosses val="autoZero"/>
        <c:crossBetween val="midCat"/>
      </c:valAx>
      <c:valAx>
        <c:axId val="393743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Functional Feet</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9375132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Riparian</a:t>
            </a:r>
            <a:r>
              <a:rPr lang="en-US" sz="1600" baseline="0"/>
              <a:t> Buffer </a:t>
            </a:r>
            <a:r>
              <a:rPr lang="en-US" sz="1600"/>
              <a:t>Width</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90069433611537"/>
          <c:y val="0.11560316588269008"/>
          <c:w val="0.60517314889709573"/>
          <c:h val="0.74265882848407794"/>
        </c:manualLayout>
      </c:layout>
      <c:scatterChart>
        <c:scatterStyle val="lineMarker"/>
        <c:varyColors val="0"/>
        <c:ser>
          <c:idx val="0"/>
          <c:order val="0"/>
          <c:tx>
            <c:strRef>
              <c:f>'Reference Curves'!$R$405</c:f>
              <c:strCache>
                <c:ptCount val="1"/>
                <c:pt idx="0">
                  <c:v>Unconfined Alluvial Valleys</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backward val="20"/>
            <c:dispRSqr val="0"/>
            <c:dispEq val="1"/>
            <c:trendlineLbl>
              <c:layout>
                <c:manualLayout>
                  <c:x val="-0.16496183537325845"/>
                  <c:y val="0.21473230613062377"/>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Curves'!$S$405:$X$405</c:f>
              <c:numCache>
                <c:formatCode>General</c:formatCode>
                <c:ptCount val="6"/>
                <c:pt idx="0">
                  <c:v>30</c:v>
                </c:pt>
                <c:pt idx="5">
                  <c:v>100</c:v>
                </c:pt>
              </c:numCache>
            </c:numRef>
          </c:xVal>
          <c:yVal>
            <c:numRef>
              <c:f>'Reference Curves'!$S$407:$X$407</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5-7F5E-43A3-B121-15C2F36C966D}"/>
            </c:ext>
          </c:extLst>
        </c:ser>
        <c:ser>
          <c:idx val="2"/>
          <c:order val="1"/>
          <c:tx>
            <c:strRef>
              <c:f>'Reference Curves'!$R$406</c:f>
              <c:strCache>
                <c:ptCount val="1"/>
                <c:pt idx="0">
                  <c:v>Confined Alluvial or Colluvial/V-Shaped Valleys</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backward val="17"/>
            <c:dispRSqr val="0"/>
            <c:dispEq val="1"/>
            <c:trendlineLbl>
              <c:layout>
                <c:manualLayout>
                  <c:x val="5.9238113550810914E-3"/>
                  <c:y val="0.65996707275726418"/>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trendlineLbl>
          </c:trendline>
          <c:xVal>
            <c:numRef>
              <c:f>'Reference Curves'!$S$406:$X$406</c:f>
              <c:numCache>
                <c:formatCode>General</c:formatCode>
                <c:ptCount val="6"/>
                <c:pt idx="0">
                  <c:v>60</c:v>
                </c:pt>
                <c:pt idx="5">
                  <c:v>100</c:v>
                </c:pt>
              </c:numCache>
            </c:numRef>
          </c:xVal>
          <c:yVal>
            <c:numRef>
              <c:f>'Reference Curves'!$S$407:$X$407</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7-7F5E-43A3-B121-15C2F36C966D}"/>
            </c:ext>
          </c:extLst>
        </c:ser>
        <c:dLbls>
          <c:showLegendKey val="0"/>
          <c:showVal val="0"/>
          <c:showCatName val="0"/>
          <c:showSerName val="0"/>
          <c:showPercent val="0"/>
          <c:showBubbleSize val="0"/>
        </c:dLbls>
        <c:axId val="400416392"/>
        <c:axId val="400412864"/>
      </c:scatterChart>
      <c:valAx>
        <c:axId val="40041639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a:t>
                </a:r>
              </a:p>
            </c:rich>
          </c:tx>
          <c:layout>
            <c:manualLayout>
              <c:xMode val="edge"/>
              <c:yMode val="edge"/>
              <c:x val="0.31084857432243473"/>
              <c:y val="0.9209813204271042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412864"/>
        <c:crosses val="autoZero"/>
        <c:crossBetween val="midCat"/>
      </c:valAx>
      <c:valAx>
        <c:axId val="40041286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416392"/>
        <c:crosses val="autoZero"/>
        <c:crossBetween val="midCat"/>
      </c:valAx>
      <c:spPr>
        <a:noFill/>
        <a:ln>
          <a:noFill/>
        </a:ln>
        <a:effectLst/>
      </c:spPr>
    </c:plotArea>
    <c:legend>
      <c:legendPos val="r"/>
      <c:layout>
        <c:manualLayout>
          <c:xMode val="edge"/>
          <c:yMode val="edge"/>
          <c:x val="0.74370826153516201"/>
          <c:y val="9.1431113688554638E-2"/>
          <c:w val="0.24318618943434761"/>
          <c:h val="0.781317917527186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Land</a:t>
            </a:r>
            <a:r>
              <a:rPr lang="en-US" baseline="0"/>
              <a:t> Use Coefficient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'Reference Curves'!$C$12</c:f>
              <c:strCache>
                <c:ptCount val="1"/>
                <c:pt idx="0">
                  <c:v>NF/FAR</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9.8058981001236292E-2"/>
                  <c:y val="-0.25373615729481819"/>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Curves'!$C$9:$G$9</c:f>
              <c:numCache>
                <c:formatCode>General</c:formatCode>
                <c:ptCount val="5"/>
                <c:pt idx="0">
                  <c:v>80</c:v>
                </c:pt>
                <c:pt idx="4">
                  <c:v>68</c:v>
                </c:pt>
              </c:numCache>
            </c:numRef>
          </c:xVal>
          <c:yVal>
            <c:numRef>
              <c:f>'Reference Curves'!$C$10:$G$10</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1-7AC5-45EF-9405-04BE8E1983D1}"/>
            </c:ext>
          </c:extLst>
        </c:ser>
        <c:ser>
          <c:idx val="1"/>
          <c:order val="1"/>
          <c:tx>
            <c:strRef>
              <c:f>'Reference Curves'!$D$12</c:f>
              <c:strCache>
                <c:ptCount val="1"/>
                <c:pt idx="0">
                  <c:v>F</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0213620813476301"/>
                  <c:y val="-0.17203451389856769"/>
                </c:manualLayout>
              </c:layout>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accent2"/>
                      </a:solidFill>
                      <a:latin typeface="+mn-lt"/>
                      <a:ea typeface="+mn-ea"/>
                      <a:cs typeface="+mn-cs"/>
                    </a:defRPr>
                  </a:pPr>
                  <a:endParaRPr lang="en-US"/>
                </a:p>
              </c:txPr>
            </c:trendlineLbl>
          </c:trendline>
          <c:xVal>
            <c:numRef>
              <c:f>'Reference Curves'!$G$9:$H$9</c:f>
              <c:numCache>
                <c:formatCode>General</c:formatCode>
                <c:ptCount val="2"/>
                <c:pt idx="0">
                  <c:v>68</c:v>
                </c:pt>
                <c:pt idx="1">
                  <c:v>40</c:v>
                </c:pt>
              </c:numCache>
            </c:numRef>
          </c:xVal>
          <c:yVal>
            <c:numRef>
              <c:f>'Reference Curves'!$G$10:$H$10</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1-CDCB-4533-8969-F472DF24AC45}"/>
            </c:ext>
          </c:extLst>
        </c:ser>
        <c:dLbls>
          <c:showLegendKey val="0"/>
          <c:showVal val="0"/>
          <c:showCatName val="0"/>
          <c:showSerName val="0"/>
          <c:showPercent val="0"/>
          <c:showBubbleSize val="0"/>
        </c:dLbls>
        <c:axId val="400416000"/>
        <c:axId val="400416784"/>
      </c:scatterChart>
      <c:valAx>
        <c:axId val="400416000"/>
        <c:scaling>
          <c:orientation val="minMax"/>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Field Value (Land Use Coefficient</a:t>
                </a:r>
                <a:r>
                  <a:rPr lang="en-US" baseline="0"/>
                  <a:t>)</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416784"/>
        <c:crosses val="autoZero"/>
        <c:crossBetween val="midCat"/>
      </c:valAx>
      <c:valAx>
        <c:axId val="40041678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0" i="0" baseline="0">
                    <a:effectLst/>
                  </a:rPr>
                  <a:t>Index Value</a:t>
                </a:r>
                <a:endParaRPr lang="en-US" sz="1100">
                  <a:effectLst/>
                </a:endParaRP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4160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Summer Average</a:t>
            </a:r>
          </a:p>
        </c:rich>
      </c:tx>
      <c:layout>
        <c:manualLayout>
          <c:xMode val="edge"/>
          <c:yMode val="edge"/>
          <c:x val="0.36360055074249176"/>
          <c:y val="1.5668010308950164E-2"/>
        </c:manualLayout>
      </c:layout>
      <c:overlay val="0"/>
      <c:spPr>
        <a:solidFill>
          <a:sysClr val="window" lastClr="FFFFFF"/>
        </a:solid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197240542752902E-2"/>
          <c:y val="9.3141937954091245E-2"/>
          <c:w val="0.83139173807186462"/>
          <c:h val="0.7791487548364594"/>
        </c:manualLayout>
      </c:layout>
      <c:scatterChart>
        <c:scatterStyle val="lineMarker"/>
        <c:varyColors val="0"/>
        <c:ser>
          <c:idx val="0"/>
          <c:order val="0"/>
          <c:tx>
            <c:v>NF</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0580526751829961"/>
                  <c:y val="-0.1812291978284152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1">
                          <a:lumMod val="75000"/>
                        </a:schemeClr>
                      </a:solidFill>
                      <a:latin typeface="+mn-lt"/>
                      <a:ea typeface="+mn-ea"/>
                      <a:cs typeface="+mn-cs"/>
                    </a:defRPr>
                  </a:pPr>
                  <a:endParaRPr lang="en-US"/>
                </a:p>
              </c:txPr>
            </c:trendlineLbl>
          </c:trendline>
          <c:xVal>
            <c:numRef>
              <c:f>'Reference Curves'!$AA$9:$AC$9</c:f>
              <c:numCache>
                <c:formatCode>General</c:formatCode>
                <c:ptCount val="3"/>
                <c:pt idx="0">
                  <c:v>25</c:v>
                </c:pt>
                <c:pt idx="2">
                  <c:v>18</c:v>
                </c:pt>
              </c:numCache>
            </c:numRef>
          </c:xVal>
          <c:yVal>
            <c:numRef>
              <c:f>'Reference Curves'!$AA$10:$AC$10</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1-CDE3-4C06-8410-8D7E48799058}"/>
            </c:ext>
          </c:extLst>
        </c:ser>
        <c:ser>
          <c:idx val="1"/>
          <c:order val="1"/>
          <c:tx>
            <c:v>FAR</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946996363442271"/>
                  <c:y val="-0.23067206689068376"/>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Curves'!$AC$9:$AE$9</c:f>
              <c:numCache>
                <c:formatCode>General</c:formatCode>
                <c:ptCount val="3"/>
                <c:pt idx="0">
                  <c:v>18</c:v>
                </c:pt>
                <c:pt idx="2">
                  <c:v>12</c:v>
                </c:pt>
              </c:numCache>
            </c:numRef>
          </c:xVal>
          <c:yVal>
            <c:numRef>
              <c:f>'Reference Curves'!$AC$10:$AE$10</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5-D844-4501-8429-E64E55DEC2E0}"/>
            </c:ext>
          </c:extLst>
        </c:ser>
        <c:ser>
          <c:idx val="2"/>
          <c:order val="2"/>
          <c:tx>
            <c:v>F</c:v>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16427436735720402"/>
                  <c:y val="-0.16229895732854202"/>
                </c:manualLayout>
              </c:layout>
              <c:numFmt formatCode="#,##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'Reference Curves'!$AE$9:$AF$9</c:f>
              <c:numCache>
                <c:formatCode>General</c:formatCode>
                <c:ptCount val="2"/>
                <c:pt idx="0">
                  <c:v>12</c:v>
                </c:pt>
                <c:pt idx="1">
                  <c:v>10</c:v>
                </c:pt>
              </c:numCache>
            </c:numRef>
          </c:xVal>
          <c:yVal>
            <c:numRef>
              <c:f>'Reference Curves'!$AE$10:$AF$10</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6-D844-4501-8429-E64E55DEC2E0}"/>
            </c:ext>
          </c:extLst>
        </c:ser>
        <c:dLbls>
          <c:showLegendKey val="0"/>
          <c:showVal val="0"/>
          <c:showCatName val="0"/>
          <c:showSerName val="0"/>
          <c:showPercent val="0"/>
          <c:showBubbleSize val="0"/>
        </c:dLbls>
        <c:axId val="400417176"/>
        <c:axId val="400417960"/>
      </c:scatterChart>
      <c:valAx>
        <c:axId val="4004171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(⁰C)</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417960"/>
        <c:crosses val="autoZero"/>
        <c:crossBetween val="midCat"/>
      </c:valAx>
      <c:valAx>
        <c:axId val="400417960"/>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a:t>
                </a:r>
                <a:r>
                  <a:rPr lang="en-US" sz="1100" baseline="0"/>
                  <a:t> Value</a:t>
                </a:r>
                <a:endParaRPr lang="en-US"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41717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Herbaceous Vegetation Cover</a:t>
            </a:r>
            <a:endParaRPr lang="en-US" baseline="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928084387367101"/>
          <c:y val="0.11383995627777838"/>
          <c:w val="0.80188118174601475"/>
          <c:h val="0.73757538467374906"/>
        </c:manualLayout>
      </c:layout>
      <c:scatterChart>
        <c:scatterStyle val="lineMarker"/>
        <c:varyColors val="0"/>
        <c:ser>
          <c:idx val="0"/>
          <c:order val="0"/>
          <c:tx>
            <c:strRef>
              <c:f>'Reference Curves'!$R$473</c:f>
              <c:strCache>
                <c:ptCount val="1"/>
                <c:pt idx="0">
                  <c:v>Field Value</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0501473964255831"/>
                  <c:y val="0.22642989329074922"/>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'Reference Curves'!$S$473:$X$473</c:f>
              <c:numCache>
                <c:formatCode>General</c:formatCode>
                <c:ptCount val="6"/>
                <c:pt idx="0">
                  <c:v>50</c:v>
                </c:pt>
                <c:pt idx="5">
                  <c:v>80</c:v>
                </c:pt>
              </c:numCache>
            </c:numRef>
          </c:xVal>
          <c:yVal>
            <c:numRef>
              <c:f>'Reference Curves'!$S$474:$X$474</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10D3-4C59-8971-E3636C93B379}"/>
            </c:ext>
          </c:extLst>
        </c:ser>
        <c:dLbls>
          <c:showLegendKey val="0"/>
          <c:showVal val="0"/>
          <c:showCatName val="0"/>
          <c:showSerName val="0"/>
          <c:showPercent val="0"/>
          <c:showBubbleSize val="0"/>
        </c:dLbls>
        <c:axId val="400414040"/>
        <c:axId val="400412080"/>
      </c:scatterChart>
      <c:valAx>
        <c:axId val="400414040"/>
        <c:scaling>
          <c:orientation val="minMax"/>
          <c:min val="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412080"/>
        <c:crosses val="autoZero"/>
        <c:crossBetween val="midCat"/>
        <c:minorUnit val="10"/>
      </c:valAx>
      <c:valAx>
        <c:axId val="400412080"/>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4140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Canopy Cover</a:t>
            </a:r>
            <a:r>
              <a:rPr lang="en-US" sz="1400" baseline="0"/>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488152952420112"/>
          <c:y val="0.13953577969898315"/>
          <c:w val="0.65980280593463358"/>
          <c:h val="0.73259244779879329"/>
        </c:manualLayout>
      </c:layout>
      <c:scatterChart>
        <c:scatterStyle val="lineMarker"/>
        <c:varyColors val="0"/>
        <c:ser>
          <c:idx val="0"/>
          <c:order val="0"/>
          <c:tx>
            <c:strRef>
              <c:f>'Reference Curves'!$R$439</c:f>
              <c:strCache>
                <c:ptCount val="1"/>
                <c:pt idx="0">
                  <c:v>Woody vegetation is a natural component of riparian zone</c:v>
                </c:pt>
              </c:strCache>
            </c:strRef>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1"/>
                </a:solidFill>
                <a:prstDash val="sysDot"/>
              </a:ln>
              <a:effectLst/>
            </c:spPr>
            <c:trendlineType val="linear"/>
            <c:dispRSqr val="0"/>
            <c:dispEq val="1"/>
            <c:trendlineLbl>
              <c:layout>
                <c:manualLayout>
                  <c:x val="-0.17701972446717973"/>
                  <c:y val="0.5909743310856389"/>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Curves'!$S$439:$X$439</c:f>
              <c:numCache>
                <c:formatCode>General</c:formatCode>
                <c:ptCount val="6"/>
                <c:pt idx="0">
                  <c:v>50</c:v>
                </c:pt>
                <c:pt idx="5">
                  <c:v>80</c:v>
                </c:pt>
              </c:numCache>
            </c:numRef>
          </c:xVal>
          <c:yVal>
            <c:numRef>
              <c:f>'Reference Curves'!$S$441:$X$441</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7CDC-4922-9C91-A89B7E2D2440}"/>
            </c:ext>
          </c:extLst>
        </c:ser>
        <c:ser>
          <c:idx val="1"/>
          <c:order val="1"/>
          <c:tx>
            <c:strRef>
              <c:f>'Reference Curves'!$R$440</c:f>
              <c:strCache>
                <c:ptCount val="1"/>
                <c:pt idx="0">
                  <c:v>Woody vegetation is not a natural component of riparian zone</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658723492918677"/>
                  <c:y val="-0.55616102371003495"/>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Curves'!$S$440:$X$440</c:f>
              <c:numCache>
                <c:formatCode>General</c:formatCode>
                <c:ptCount val="6"/>
                <c:pt idx="0">
                  <c:v>80</c:v>
                </c:pt>
                <c:pt idx="5">
                  <c:v>50</c:v>
                </c:pt>
              </c:numCache>
            </c:numRef>
          </c:xVal>
          <c:yVal>
            <c:numRef>
              <c:f>'Reference Curves'!$S$441:$X$441</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484D-4354-B126-BF449D60F639}"/>
            </c:ext>
          </c:extLst>
        </c:ser>
        <c:dLbls>
          <c:showLegendKey val="0"/>
          <c:showVal val="0"/>
          <c:showCatName val="0"/>
          <c:showSerName val="0"/>
          <c:showPercent val="0"/>
          <c:showBubbleSize val="0"/>
        </c:dLbls>
        <c:axId val="400411688"/>
        <c:axId val="400890056"/>
      </c:scatterChart>
      <c:valAx>
        <c:axId val="400411688"/>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890056"/>
        <c:crosses val="autoZero"/>
        <c:crossBetween val="midCat"/>
      </c:valAx>
      <c:valAx>
        <c:axId val="40089005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411688"/>
        <c:crosses val="autoZero"/>
        <c:crossBetween val="midCat"/>
      </c:valAx>
      <c:spPr>
        <a:noFill/>
        <a:ln>
          <a:noFill/>
        </a:ln>
        <a:effectLst/>
      </c:spPr>
    </c:plotArea>
    <c:legend>
      <c:legendPos val="r"/>
      <c:layout>
        <c:manualLayout>
          <c:xMode val="edge"/>
          <c:yMode val="edge"/>
          <c:x val="0.80407196792878521"/>
          <c:y val="6.268868935823281E-2"/>
          <c:w val="0.18263075611068288"/>
          <c:h val="0.89220683820806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of LWD </a:t>
            </a:r>
            <a:r>
              <a:rPr lang="en-US" baseline="0"/>
              <a:t>Pieces / 100 Meters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6704454114581895E-2"/>
          <c:y val="0.11420882693026213"/>
          <c:w val="0.85243221218007825"/>
          <c:h val="0.75293799341135759"/>
        </c:manualLayout>
      </c:layout>
      <c:scatterChart>
        <c:scatterStyle val="lineMarker"/>
        <c:varyColors val="0"/>
        <c:ser>
          <c:idx val="0"/>
          <c:order val="0"/>
          <c:tx>
            <c:strRef>
              <c:f>'Reference Curves'!$S$45</c:f>
              <c:strCache>
                <c:ptCount val="1"/>
                <c:pt idx="0">
                  <c:v>NF/FAR</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0"/>
            <c:dispEq val="1"/>
            <c:trendlineLbl>
              <c:layout>
                <c:manualLayout>
                  <c:x val="0.22107202955992905"/>
                  <c:y val="0.2349470574383119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'Reference Curves'!$S$42:$W$42</c:f>
              <c:numCache>
                <c:formatCode>General</c:formatCode>
                <c:ptCount val="5"/>
                <c:pt idx="0">
                  <c:v>0</c:v>
                </c:pt>
                <c:pt idx="4">
                  <c:v>13</c:v>
                </c:pt>
              </c:numCache>
            </c:numRef>
          </c:xVal>
          <c:yVal>
            <c:numRef>
              <c:f>'Reference Curves'!$S$43:$W$43</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1-87EE-4953-ABFC-8573E61609C8}"/>
            </c:ext>
          </c:extLst>
        </c:ser>
        <c:ser>
          <c:idx val="1"/>
          <c:order val="1"/>
          <c:tx>
            <c:strRef>
              <c:f>'Reference Curves'!$T$45</c:f>
              <c:strCache>
                <c:ptCount val="1"/>
                <c:pt idx="0">
                  <c:v>F</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1"/>
            <c:trendlineLbl>
              <c:layout>
                <c:manualLayout>
                  <c:x val="-8.1758207761892035E-2"/>
                  <c:y val="-4.0125508286610143E-2"/>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Curves'!$W$42:$X$42</c:f>
              <c:numCache>
                <c:formatCode>General</c:formatCode>
                <c:ptCount val="2"/>
                <c:pt idx="0">
                  <c:v>13</c:v>
                </c:pt>
                <c:pt idx="1">
                  <c:v>28</c:v>
                </c:pt>
              </c:numCache>
            </c:numRef>
          </c:xVal>
          <c:yVal>
            <c:numRef>
              <c:f>'Reference Curves'!$W$43:$X$43</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3-87EE-4953-ABFC-8573E61609C8}"/>
            </c:ext>
          </c:extLst>
        </c:ser>
        <c:dLbls>
          <c:showLegendKey val="0"/>
          <c:showVal val="0"/>
          <c:showCatName val="0"/>
          <c:showSerName val="0"/>
          <c:showPercent val="0"/>
          <c:showBubbleSize val="0"/>
        </c:dLbls>
        <c:axId val="400888488"/>
        <c:axId val="400891232"/>
      </c:scatterChart>
      <c:valAx>
        <c:axId val="400888488"/>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a:t>
                </a:r>
                <a:r>
                  <a:rPr lang="en-US" sz="1100" baseline="0"/>
                  <a:t> Value (Pieces per 100 m)</a:t>
                </a:r>
                <a:endParaRPr lang="en-US" sz="1100"/>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91232"/>
        <c:crosses val="autoZero"/>
        <c:crossBetween val="midCat"/>
      </c:valAx>
      <c:valAx>
        <c:axId val="400891232"/>
        <c:scaling>
          <c:orientation val="minMax"/>
          <c:max val="1.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a:t>
                </a:r>
                <a:r>
                  <a:rPr lang="en-US" sz="1100" baseline="0"/>
                  <a:t> Value</a:t>
                </a:r>
                <a:endParaRPr lang="en-US"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884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Size Class Pebble Count Analyzer (p-value)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63505165107918"/>
          <c:y val="9.5665548030281988E-2"/>
          <c:w val="0.84451230561846091"/>
          <c:h val="0.78980582682014"/>
        </c:manualLayout>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forward val="5.000000000000001E-2"/>
            <c:dispRSqr val="0"/>
            <c:dispEq val="1"/>
            <c:trendlineLbl>
              <c:layout>
                <c:manualLayout>
                  <c:x val="-0.11934860365603056"/>
                  <c:y val="8.3089081834286094E-2"/>
                </c:manualLayout>
              </c:layout>
              <c:numFmt formatCode="#,##0.000"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Curves'!$S$139:$W$139</c:f>
              <c:numCache>
                <c:formatCode>General</c:formatCode>
                <c:ptCount val="5"/>
                <c:pt idx="0">
                  <c:v>0.01</c:v>
                </c:pt>
                <c:pt idx="1">
                  <c:v>0.05</c:v>
                </c:pt>
              </c:numCache>
            </c:numRef>
          </c:xVal>
          <c:yVal>
            <c:numRef>
              <c:f>'Reference Curves'!$S$140:$W$140</c:f>
              <c:numCache>
                <c:formatCode>General</c:formatCode>
                <c:ptCount val="5"/>
                <c:pt idx="0">
                  <c:v>0</c:v>
                </c:pt>
                <c:pt idx="1">
                  <c:v>0.28999999999999998</c:v>
                </c:pt>
                <c:pt idx="2">
                  <c:v>0.3</c:v>
                </c:pt>
                <c:pt idx="3" formatCode="0.00">
                  <c:v>0.65200000000000002</c:v>
                </c:pt>
                <c:pt idx="4">
                  <c:v>0.7</c:v>
                </c:pt>
              </c:numCache>
            </c:numRef>
          </c:yVal>
          <c:smooth val="0"/>
          <c:extLst xmlns:c16r2="http://schemas.microsoft.com/office/drawing/2015/06/chart">
            <c:ext xmlns:c16="http://schemas.microsoft.com/office/drawing/2014/chart" uri="{C3380CC4-5D6E-409C-BE32-E72D297353CC}">
              <c16:uniqueId val="{00000001-C2FC-48C4-8C75-FA129180E940}"/>
            </c:ext>
          </c:extLst>
        </c:ser>
        <c:ser>
          <c:idx val="1"/>
          <c:order val="1"/>
          <c:spPr>
            <a:ln w="25400" cap="rnd">
              <a:solidFill>
                <a:srgbClr val="FF0000"/>
              </a:solidFill>
              <a:round/>
            </a:ln>
            <a:effectLst/>
          </c:spPr>
          <c:marker>
            <c:symbol val="none"/>
          </c:marker>
          <c:xVal>
            <c:numLit>
              <c:formatCode>General</c:formatCode>
              <c:ptCount val="2"/>
              <c:pt idx="0">
                <c:v>0.10100000000000001</c:v>
              </c:pt>
              <c:pt idx="1">
                <c:v>0.12</c:v>
              </c:pt>
            </c:numLit>
          </c:xVal>
          <c:yVal>
            <c:numLit>
              <c:formatCode>General</c:formatCode>
              <c:ptCount val="2"/>
              <c:pt idx="0">
                <c:v>1</c:v>
              </c:pt>
              <c:pt idx="1">
                <c:v>1</c:v>
              </c:pt>
            </c:numLit>
          </c:yVal>
          <c:smooth val="0"/>
          <c:extLst xmlns:c16r2="http://schemas.microsoft.com/office/drawing/2015/06/chart">
            <c:ext xmlns:c16="http://schemas.microsoft.com/office/drawing/2014/chart" uri="{C3380CC4-5D6E-409C-BE32-E72D297353CC}">
              <c16:uniqueId val="{00000002-C2FC-48C4-8C75-FA129180E940}"/>
            </c:ext>
          </c:extLst>
        </c:ser>
        <c:dLbls>
          <c:showLegendKey val="0"/>
          <c:showVal val="0"/>
          <c:showCatName val="0"/>
          <c:showSerName val="0"/>
          <c:showPercent val="0"/>
          <c:showBubbleSize val="0"/>
        </c:dLbls>
        <c:axId val="400886920"/>
        <c:axId val="400887312"/>
      </c:scatterChart>
      <c:valAx>
        <c:axId val="400886920"/>
        <c:scaling>
          <c:orientation val="minMax"/>
          <c:max val="0.1200000000000000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(p-value)</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87312"/>
        <c:crosses val="autoZero"/>
        <c:crossBetween val="midCat"/>
      </c:valAx>
      <c:valAx>
        <c:axId val="40088731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a:t>
                </a:r>
                <a:r>
                  <a:rPr lang="en-US" sz="1100" baseline="0"/>
                  <a:t> Value</a:t>
                </a:r>
                <a:endParaRPr lang="en-US"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869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Concentrated</a:t>
            </a:r>
            <a:r>
              <a:rPr lang="en-US" baseline="0"/>
              <a:t> Flow Points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'Reference Curves'!$B$70</c:f>
              <c:strCache>
                <c:ptCount val="1"/>
                <c:pt idx="0">
                  <c:v>Field Value</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forward val="2.2000000000000002"/>
            <c:dispRSqr val="0"/>
            <c:dispEq val="1"/>
            <c:trendlineLbl>
              <c:layout>
                <c:manualLayout>
                  <c:x val="-5.8426109047523891E-2"/>
                  <c:y val="-0.32205122564154565"/>
                </c:manualLayout>
              </c:layout>
              <c:numFmt formatCode="#,##0.000"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Curves'!$E$70:$H$70</c:f>
              <c:numCache>
                <c:formatCode>General</c:formatCode>
                <c:ptCount val="4"/>
                <c:pt idx="1">
                  <c:v>1</c:v>
                </c:pt>
                <c:pt idx="3">
                  <c:v>0</c:v>
                </c:pt>
              </c:numCache>
            </c:numRef>
          </c:xVal>
          <c:yVal>
            <c:numRef>
              <c:f>'Reference Curves'!$E$71:$H$71</c:f>
              <c:numCache>
                <c:formatCode>General</c:formatCode>
                <c:ptCount val="4"/>
                <c:pt idx="0">
                  <c:v>0.3</c:v>
                </c:pt>
                <c:pt idx="1">
                  <c:v>0.69</c:v>
                </c:pt>
                <c:pt idx="2">
                  <c:v>0.7</c:v>
                </c:pt>
                <c:pt idx="3">
                  <c:v>1</c:v>
                </c:pt>
              </c:numCache>
            </c:numRef>
          </c:yVal>
          <c:smooth val="0"/>
          <c:extLst xmlns:c16r2="http://schemas.microsoft.com/office/drawing/2015/06/chart">
            <c:ext xmlns:c16="http://schemas.microsoft.com/office/drawing/2014/chart" uri="{C3380CC4-5D6E-409C-BE32-E72D297353CC}">
              <c16:uniqueId val="{00000001-8253-4875-A358-B5F720F62AFA}"/>
            </c:ext>
          </c:extLst>
        </c:ser>
        <c:dLbls>
          <c:showLegendKey val="0"/>
          <c:showVal val="0"/>
          <c:showCatName val="0"/>
          <c:showSerName val="0"/>
          <c:showPercent val="0"/>
          <c:showBubbleSize val="0"/>
        </c:dLbls>
        <c:axId val="400890448"/>
        <c:axId val="400885744"/>
      </c:scatterChart>
      <c:valAx>
        <c:axId val="400890448"/>
        <c:scaling>
          <c:orientation val="minMax"/>
          <c:max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Field Value (# Points per 1,000 feet)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85744"/>
        <c:crosses val="autoZero"/>
        <c:crossBetween val="midCat"/>
      </c:valAx>
      <c:valAx>
        <c:axId val="40088574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0" i="0" baseline="0">
                    <a:effectLst/>
                  </a:rPr>
                  <a:t>Index Value</a:t>
                </a:r>
                <a:endParaRPr lang="en-US" sz="1100">
                  <a:effectLst/>
                </a:endParaRP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904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Woody Stem Basal Area</a:t>
            </a:r>
          </a:p>
        </c:rich>
      </c:tx>
      <c:layout>
        <c:manualLayout>
          <c:xMode val="edge"/>
          <c:yMode val="edge"/>
          <c:x val="0.38489851189817542"/>
          <c:y val="3.22959557926853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928084387367101"/>
          <c:y val="0.11383995627777838"/>
          <c:w val="0.78710276152185865"/>
          <c:h val="0.73757538467374906"/>
        </c:manualLayout>
      </c:layout>
      <c:scatterChart>
        <c:scatterStyle val="lineMarker"/>
        <c:varyColors val="0"/>
        <c:ser>
          <c:idx val="0"/>
          <c:order val="0"/>
          <c:tx>
            <c:strRef>
              <c:f>'Reference Curves'!$S$507</c:f>
              <c:strCache>
                <c:ptCount val="1"/>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479552942650815E-2"/>
                  <c:y val="8.1890488164295019E-2"/>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'Reference Curves'!$S$504:$X$504</c:f>
              <c:numCache>
                <c:formatCode>General</c:formatCode>
                <c:ptCount val="6"/>
                <c:pt idx="0">
                  <c:v>9</c:v>
                </c:pt>
                <c:pt idx="5">
                  <c:v>14</c:v>
                </c:pt>
              </c:numCache>
            </c:numRef>
          </c:xVal>
          <c:yVal>
            <c:numRef>
              <c:f>'Reference Curves'!$S$505:$X$505</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5D7A-4BAE-B3C3-8F5CC5CA9B82}"/>
            </c:ext>
          </c:extLst>
        </c:ser>
        <c:dLbls>
          <c:showLegendKey val="0"/>
          <c:showVal val="0"/>
          <c:showCatName val="0"/>
          <c:showSerName val="0"/>
          <c:showPercent val="0"/>
          <c:showBubbleSize val="0"/>
        </c:dLbls>
        <c:axId val="400892800"/>
        <c:axId val="400889272"/>
      </c:scatterChart>
      <c:valAx>
        <c:axId val="400892800"/>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(sqm/hectare)</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889272"/>
        <c:crosses val="autoZero"/>
        <c:crossBetween val="midCat"/>
      </c:valAx>
      <c:valAx>
        <c:axId val="40088927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892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Percent Armoring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928084387367101"/>
          <c:y val="0.11383995627777838"/>
          <c:w val="0.78710276152185865"/>
          <c:h val="0.73757538467374906"/>
        </c:manualLayout>
      </c:layout>
      <c:scatterChart>
        <c:scatterStyle val="lineMarker"/>
        <c:varyColors val="0"/>
        <c:ser>
          <c:idx val="1"/>
          <c:order val="0"/>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backward val="19"/>
            <c:dispRSqr val="0"/>
            <c:dispEq val="1"/>
            <c:trendlineLbl>
              <c:layout>
                <c:manualLayout>
                  <c:x val="-9.067771678996811E-2"/>
                  <c:y val="-0.378659966769126"/>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Curves'!$S$108:$X$108</c:f>
              <c:numCache>
                <c:formatCode>General</c:formatCode>
                <c:ptCount val="6"/>
                <c:pt idx="0">
                  <c:v>50</c:v>
                </c:pt>
                <c:pt idx="5">
                  <c:v>0</c:v>
                </c:pt>
              </c:numCache>
            </c:numRef>
          </c:xVal>
          <c:yVal>
            <c:numRef>
              <c:f>'Reference Curves'!$S$109:$X$109</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3-442D-4866-83CE-EAE769C24016}"/>
            </c:ext>
          </c:extLst>
        </c:ser>
        <c:dLbls>
          <c:showLegendKey val="0"/>
          <c:showVal val="0"/>
          <c:showCatName val="0"/>
          <c:showSerName val="0"/>
          <c:showPercent val="0"/>
          <c:showBubbleSize val="0"/>
        </c:dLbls>
        <c:axId val="400886136"/>
        <c:axId val="400890840"/>
      </c:scatterChart>
      <c:valAx>
        <c:axId val="400886136"/>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890840"/>
        <c:crosses val="autoZero"/>
        <c:crossBetween val="midCat"/>
      </c:valAx>
      <c:valAx>
        <c:axId val="400890840"/>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00886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Big Four Parameters - Condition</a:t>
            </a:r>
            <a:r>
              <a:rPr lang="en-US" sz="2000" baseline="0"/>
              <a:t> Score Tracking</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4"/>
          <c:order val="0"/>
          <c:tx>
            <c:strRef>
              <c:f>'Data Summary'!$B$6</c:f>
              <c:strCache>
                <c:ptCount val="1"/>
                <c:pt idx="0">
                  <c:v>Floodplain Connectivity</c:v>
                </c:pt>
              </c:strCache>
            </c:strRef>
          </c:tx>
          <c:spPr>
            <a:ln w="19050" cap="rnd">
              <a:solidFill>
                <a:schemeClr val="accent5"/>
              </a:solidFill>
              <a:prstDash val="dash"/>
              <a:round/>
            </a:ln>
            <a:effectLst/>
          </c:spPr>
          <c:marker>
            <c:symbol val="none"/>
          </c:marker>
          <c:xVal>
            <c:numRef>
              <c:f>'Data Summary'!$F$4:$O$4</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Summary'!$F$6:$O$6</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4-92C8-4EBD-977B-3E233368AC59}"/>
            </c:ext>
          </c:extLst>
        </c:ser>
        <c:ser>
          <c:idx val="5"/>
          <c:order val="1"/>
          <c:tx>
            <c:strRef>
              <c:f>'Data Summary'!$B$8</c:f>
              <c:strCache>
                <c:ptCount val="1"/>
                <c:pt idx="0">
                  <c:v>Lateral Migration</c:v>
                </c:pt>
              </c:strCache>
            </c:strRef>
          </c:tx>
          <c:spPr>
            <a:ln w="19050" cap="rnd">
              <a:solidFill>
                <a:srgbClr val="FF0000"/>
              </a:solidFill>
              <a:prstDash val="dash"/>
              <a:round/>
            </a:ln>
            <a:effectLst/>
          </c:spPr>
          <c:marker>
            <c:symbol val="none"/>
          </c:marker>
          <c:xVal>
            <c:numRef>
              <c:f>'Data Summary'!$F$4:$O$4</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Summary'!$F$8:$O$8</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5-92C8-4EBD-977B-3E233368AC59}"/>
            </c:ext>
          </c:extLst>
        </c:ser>
        <c:ser>
          <c:idx val="6"/>
          <c:order val="2"/>
          <c:tx>
            <c:strRef>
              <c:f>'Data Summary'!$B$11</c:f>
              <c:strCache>
                <c:ptCount val="1"/>
                <c:pt idx="0">
                  <c:v>Riparian Vegetation</c:v>
                </c:pt>
              </c:strCache>
            </c:strRef>
          </c:tx>
          <c:spPr>
            <a:ln w="19050" cap="rnd">
              <a:solidFill>
                <a:srgbClr val="92D050"/>
              </a:solidFill>
              <a:prstDash val="dash"/>
              <a:round/>
            </a:ln>
            <a:effectLst/>
          </c:spPr>
          <c:marker>
            <c:symbol val="none"/>
          </c:marker>
          <c:xVal>
            <c:numRef>
              <c:f>'Data Summary'!$F$4:$O$4</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Summary'!$F$11:$O$11</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6-92C8-4EBD-977B-3E233368AC59}"/>
            </c:ext>
          </c:extLst>
        </c:ser>
        <c:ser>
          <c:idx val="7"/>
          <c:order val="3"/>
          <c:tx>
            <c:strRef>
              <c:f>'Data Summary'!$B$10</c:f>
              <c:strCache>
                <c:ptCount val="1"/>
                <c:pt idx="0">
                  <c:v>Bed Form Diversity</c:v>
                </c:pt>
              </c:strCache>
            </c:strRef>
          </c:tx>
          <c:spPr>
            <a:ln w="19050" cap="rnd">
              <a:solidFill>
                <a:srgbClr val="FFC000"/>
              </a:solidFill>
              <a:prstDash val="dash"/>
              <a:round/>
            </a:ln>
            <a:effectLst/>
          </c:spPr>
          <c:marker>
            <c:symbol val="none"/>
          </c:marker>
          <c:xVal>
            <c:numRef>
              <c:f>'Data Summary'!$F$4:$O$4</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Summary'!$F$10:$O$10</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7-92C8-4EBD-977B-3E233368AC59}"/>
            </c:ext>
          </c:extLst>
        </c:ser>
        <c:ser>
          <c:idx val="0"/>
          <c:order val="4"/>
          <c:tx>
            <c:v>Monitoring Data</c:v>
          </c:tx>
          <c:spPr>
            <a:ln w="28575" cap="rnd">
              <a:solidFill>
                <a:schemeClr val="tx1"/>
              </a:solidFill>
              <a:round/>
            </a:ln>
            <a:effectLst/>
          </c:spPr>
          <c:marker>
            <c:symbol val="none"/>
          </c:marker>
          <c:xVal>
            <c:numRef>
              <c:f>'Data Summary'!$F$21:$O$21</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Summary'!$F$27:$O$27</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3-92C8-4EBD-977B-3E233368AC59}"/>
            </c:ext>
          </c:extLst>
        </c:ser>
        <c:dLbls>
          <c:showLegendKey val="0"/>
          <c:showVal val="0"/>
          <c:showCatName val="0"/>
          <c:showSerName val="0"/>
          <c:showPercent val="0"/>
          <c:showBubbleSize val="0"/>
        </c:dLbls>
        <c:axId val="393748184"/>
        <c:axId val="393748968"/>
      </c:scatterChart>
      <c:valAx>
        <c:axId val="393748184"/>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Monitoring Year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93748968"/>
        <c:crosses val="autoZero"/>
        <c:crossBetween val="midCat"/>
      </c:valAx>
      <c:valAx>
        <c:axId val="39374896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Condition Score</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937481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Riffle for A</a:t>
            </a:r>
            <a:r>
              <a:rPr lang="en-US" baseline="0"/>
              <a:t> and B</a:t>
            </a:r>
            <a:r>
              <a:rPr lang="en-US"/>
              <a:t> Streams and Percent Riffle &gt;70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57622122197586678"/>
                  <c:y val="-7.6397433403473824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Stds'!#REF!</c:f>
            </c:numRef>
          </c:xVal>
          <c:yVal>
            <c:numRef>
              <c:f>'Performance Stds'!#REF!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1-3E46-45E7-A195-8897428E99E6}"/>
            </c:ext>
          </c:extLst>
        </c:ser>
        <c:dLbls>
          <c:showLegendKey val="0"/>
          <c:showVal val="0"/>
          <c:showCatName val="0"/>
          <c:showSerName val="0"/>
          <c:showPercent val="0"/>
          <c:showBubbleSize val="0"/>
        </c:dLbls>
        <c:axId val="400889664"/>
        <c:axId val="400891624"/>
      </c:scatterChart>
      <c:valAx>
        <c:axId val="400889664"/>
        <c:scaling>
          <c:orientation val="minMax"/>
          <c:min val="6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91624"/>
        <c:crosses val="autoZero"/>
        <c:crossBetween val="midCat"/>
      </c:valAx>
      <c:valAx>
        <c:axId val="400891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896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Macroinvertebrate</a:t>
            </a:r>
            <a:r>
              <a:rPr lang="en-US" sz="1600" baseline="0"/>
              <a:t> IBI - </a:t>
            </a:r>
            <a:r>
              <a:rPr lang="en-US" sz="1600"/>
              <a:t>Northern</a:t>
            </a:r>
          </a:p>
        </c:rich>
      </c:tx>
      <c:layout>
        <c:manualLayout>
          <c:xMode val="edge"/>
          <c:yMode val="edge"/>
          <c:x val="0.17740907553986787"/>
          <c:y val="1.1969040709660445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1013706185904177E-2"/>
          <c:y val="7.2906683829778718E-2"/>
          <c:w val="0.6911389764468574"/>
          <c:h val="0.82571408700478599"/>
        </c:manualLayout>
      </c:layout>
      <c:scatterChart>
        <c:scatterStyle val="lineMarker"/>
        <c:varyColors val="0"/>
        <c:ser>
          <c:idx val="0"/>
          <c:order val="0"/>
          <c:tx>
            <c:v>NF Rivers NF</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1.5788030230586371E-2"/>
                  <c:y val="5.6699686732706797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1">
                          <a:lumMod val="75000"/>
                        </a:schemeClr>
                      </a:solidFill>
                      <a:latin typeface="+mn-lt"/>
                      <a:ea typeface="+mn-ea"/>
                      <a:cs typeface="+mn-cs"/>
                    </a:defRPr>
                  </a:pPr>
                  <a:endParaRPr lang="en-US"/>
                </a:p>
              </c:txPr>
            </c:trendlineLbl>
          </c:trendline>
          <c:xVal>
            <c:numRef>
              <c:f>'Reference Curves'!$AJ$9:$AL$9</c:f>
              <c:numCache>
                <c:formatCode>General</c:formatCode>
                <c:ptCount val="3"/>
                <c:pt idx="0">
                  <c:v>38.200000000000003</c:v>
                </c:pt>
                <c:pt idx="2">
                  <c:v>49</c:v>
                </c:pt>
              </c:numCache>
              <c:extLst xmlns:c16r2="http://schemas.microsoft.com/office/drawing/2015/06/chart" xmlns:c15="http://schemas.microsoft.com/office/drawing/2012/chart"/>
            </c:numRef>
          </c:xVal>
          <c:yVal>
            <c:numRef>
              <c:f>'Reference Curves'!$AJ$13:$AL$13</c:f>
              <c:numCache>
                <c:formatCode>General</c:formatCode>
                <c:ptCount val="3"/>
                <c:pt idx="0">
                  <c:v>0</c:v>
                </c:pt>
                <c:pt idx="1">
                  <c:v>0.28999999999999998</c:v>
                </c:pt>
                <c:pt idx="2">
                  <c:v>0.3</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1-03DE-455A-B7C5-AC4D0B5EDAF8}"/>
            </c:ext>
          </c:extLst>
        </c:ser>
        <c:ser>
          <c:idx val="1"/>
          <c:order val="1"/>
          <c:tx>
            <c:v>NF Rivers FAR</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1.7320564098362295E-3"/>
                  <c:y val="0.10079014074609874"/>
                </c:manualLayout>
              </c:layout>
              <c:numFmt formatCode="#,##0.00000000" sourceLinked="0"/>
              <c:spPr>
                <a:noFill/>
                <a:ln>
                  <a:noFill/>
                </a:ln>
                <a:effectLst/>
              </c:spPr>
              <c:txPr>
                <a:bodyPr rot="0" spcFirstLastPara="1" vertOverflow="ellipsis" vert="horz" wrap="square" anchor="ctr" anchorCtr="1"/>
                <a:lstStyle/>
                <a:p>
                  <a:pPr>
                    <a:defRPr sz="1050" b="0" i="0" u="none" strike="noStrike" kern="1200" baseline="0">
                      <a:solidFill>
                        <a:schemeClr val="accent2"/>
                      </a:solidFill>
                      <a:latin typeface="+mn-lt"/>
                      <a:ea typeface="+mn-ea"/>
                      <a:cs typeface="+mn-cs"/>
                    </a:defRPr>
                  </a:pPr>
                  <a:endParaRPr lang="en-US"/>
                </a:p>
              </c:txPr>
            </c:trendlineLbl>
          </c:trendline>
          <c:xVal>
            <c:numRef>
              <c:f>'Reference Curves'!$AL$9:$AN$9</c:f>
              <c:numCache>
                <c:formatCode>General</c:formatCode>
                <c:ptCount val="3"/>
                <c:pt idx="0">
                  <c:v>49</c:v>
                </c:pt>
                <c:pt idx="2">
                  <c:v>59.8</c:v>
                </c:pt>
              </c:numCache>
              <c:extLst xmlns:c16r2="http://schemas.microsoft.com/office/drawing/2015/06/chart" xmlns:c15="http://schemas.microsoft.com/office/drawing/2012/chart"/>
            </c:numRef>
          </c:xVal>
          <c:yVal>
            <c:numRef>
              <c:f>'Reference Curves'!$AL$13:$AN$13</c:f>
              <c:numCache>
                <c:formatCode>General</c:formatCode>
                <c:ptCount val="3"/>
                <c:pt idx="0">
                  <c:v>0.3</c:v>
                </c:pt>
                <c:pt idx="1">
                  <c:v>0.69</c:v>
                </c:pt>
                <c:pt idx="2">
                  <c:v>0.7</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3-03DE-455A-B7C5-AC4D0B5EDAF8}"/>
            </c:ext>
          </c:extLst>
        </c:ser>
        <c:ser>
          <c:idx val="2"/>
          <c:order val="2"/>
          <c:tx>
            <c:v>NF Rivers F</c:v>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8.0855607535860616E-2"/>
                  <c:y val="4.1088315736546359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bg1">
                          <a:lumMod val="65000"/>
                        </a:schemeClr>
                      </a:solidFill>
                      <a:latin typeface="+mn-lt"/>
                      <a:ea typeface="+mn-ea"/>
                      <a:cs typeface="+mn-cs"/>
                    </a:defRPr>
                  </a:pPr>
                  <a:endParaRPr lang="en-US"/>
                </a:p>
              </c:txPr>
            </c:trendlineLbl>
          </c:trendline>
          <c:xVal>
            <c:numRef>
              <c:f>'Reference Curves'!$AN$9:$AO$9</c:f>
              <c:numCache>
                <c:formatCode>General</c:formatCode>
                <c:ptCount val="2"/>
                <c:pt idx="0">
                  <c:v>59.8</c:v>
                </c:pt>
                <c:pt idx="1">
                  <c:v>77</c:v>
                </c:pt>
              </c:numCache>
              <c:extLst xmlns:c16r2="http://schemas.microsoft.com/office/drawing/2015/06/chart" xmlns:c15="http://schemas.microsoft.com/office/drawing/2012/chart"/>
            </c:numRef>
          </c:xVal>
          <c:yVal>
            <c:numRef>
              <c:f>'Reference Curves'!$AN$13:$AO$13</c:f>
              <c:numCache>
                <c:formatCode>General</c:formatCode>
                <c:ptCount val="2"/>
                <c:pt idx="0">
                  <c:v>0.7</c:v>
                </c:pt>
                <c:pt idx="1">
                  <c:v>1</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5-03DE-455A-B7C5-AC4D0B5EDAF8}"/>
            </c:ext>
          </c:extLst>
        </c:ser>
        <c:ser>
          <c:idx val="6"/>
          <c:order val="3"/>
          <c:tx>
            <c:v>NF Streams RR NF</c:v>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trendline>
            <c:spPr>
              <a:ln w="19050" cap="rnd">
                <a:solidFill>
                  <a:schemeClr val="accent1">
                    <a:lumMod val="60000"/>
                  </a:schemeClr>
                </a:solidFill>
                <a:prstDash val="sysDot"/>
              </a:ln>
              <a:effectLst/>
            </c:spPr>
            <c:trendlineType val="linear"/>
            <c:dispRSqr val="0"/>
            <c:dispEq val="1"/>
            <c:trendlineLbl>
              <c:layout>
                <c:manualLayout>
                  <c:x val="0.12630110079135698"/>
                  <c:y val="0.13496178512211063"/>
                </c:manualLayout>
              </c:layout>
              <c:numFmt formatCode="#,##0.00000000" sourceLinked="0"/>
              <c:spPr>
                <a:noFill/>
                <a:ln>
                  <a:noFill/>
                </a:ln>
                <a:effectLst/>
              </c:spPr>
              <c:txPr>
                <a:bodyPr rot="0" spcFirstLastPara="1" vertOverflow="ellipsis" vert="horz" wrap="square" anchor="ctr" anchorCtr="1"/>
                <a:lstStyle/>
                <a:p>
                  <a:pPr>
                    <a:defRPr sz="1050" b="0" i="0" u="none" strike="noStrike" kern="1200" baseline="0">
                      <a:solidFill>
                        <a:schemeClr val="accent5">
                          <a:lumMod val="75000"/>
                        </a:schemeClr>
                      </a:solidFill>
                      <a:latin typeface="+mn-lt"/>
                      <a:ea typeface="+mn-ea"/>
                      <a:cs typeface="+mn-cs"/>
                    </a:defRPr>
                  </a:pPr>
                  <a:endParaRPr lang="en-US"/>
                </a:p>
              </c:txPr>
            </c:trendlineLbl>
          </c:trendline>
          <c:xVal>
            <c:numRef>
              <c:f>'Reference Curves'!$AJ$10:$AL$10</c:f>
              <c:numCache>
                <c:formatCode>General</c:formatCode>
                <c:ptCount val="3"/>
                <c:pt idx="0">
                  <c:v>40.4</c:v>
                </c:pt>
                <c:pt idx="2">
                  <c:v>53</c:v>
                </c:pt>
              </c:numCache>
            </c:numRef>
          </c:xVal>
          <c:yVal>
            <c:numRef>
              <c:f>'Reference Curves'!$AJ$13:$AL$13</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7-03DE-455A-B7C5-AC4D0B5EDAF8}"/>
            </c:ext>
          </c:extLst>
        </c:ser>
        <c:ser>
          <c:idx val="7"/>
          <c:order val="4"/>
          <c:tx>
            <c:v>NF Streams RR FAR</c:v>
          </c:tx>
          <c:spPr>
            <a:ln w="25400" cap="rnd">
              <a:noFill/>
              <a:round/>
            </a:ln>
            <a:effectLst/>
          </c:spPr>
          <c:marker>
            <c:symbol val="circle"/>
            <c:size val="5"/>
            <c:spPr>
              <a:solidFill>
                <a:schemeClr val="accent2">
                  <a:lumMod val="60000"/>
                </a:schemeClr>
              </a:solidFill>
              <a:ln w="9525">
                <a:solidFill>
                  <a:schemeClr val="accent2">
                    <a:lumMod val="60000"/>
                  </a:schemeClr>
                </a:solidFill>
              </a:ln>
              <a:effectLst/>
            </c:spPr>
          </c:marker>
          <c:trendline>
            <c:spPr>
              <a:ln w="19050" cap="rnd">
                <a:solidFill>
                  <a:schemeClr val="accent2">
                    <a:lumMod val="60000"/>
                  </a:schemeClr>
                </a:solidFill>
                <a:prstDash val="sysDot"/>
              </a:ln>
              <a:effectLst/>
            </c:spPr>
            <c:trendlineType val="linear"/>
            <c:dispRSqr val="0"/>
            <c:dispEq val="1"/>
            <c:trendlineLbl>
              <c:layout>
                <c:manualLayout>
                  <c:x val="0.13748157631494193"/>
                  <c:y val="0.22578574317611533"/>
                </c:manualLayout>
              </c:layout>
              <c:numFmt formatCode="#,##0.0000000000" sourceLinked="0"/>
              <c:spPr>
                <a:noFill/>
                <a:ln>
                  <a:noFill/>
                </a:ln>
                <a:effectLst/>
              </c:spPr>
              <c:txPr>
                <a:bodyPr rot="0" spcFirstLastPara="1" vertOverflow="ellipsis" vert="horz" wrap="square" anchor="ctr" anchorCtr="1"/>
                <a:lstStyle/>
                <a:p>
                  <a:pPr>
                    <a:defRPr sz="1050" b="0" i="0" u="none" strike="noStrike" kern="1200" baseline="0">
                      <a:solidFill>
                        <a:srgbClr val="C00000"/>
                      </a:solidFill>
                      <a:latin typeface="+mn-lt"/>
                      <a:ea typeface="+mn-ea"/>
                      <a:cs typeface="+mn-cs"/>
                    </a:defRPr>
                  </a:pPr>
                  <a:endParaRPr lang="en-US"/>
                </a:p>
              </c:txPr>
            </c:trendlineLbl>
          </c:trendline>
          <c:xVal>
            <c:numRef>
              <c:f>'Reference Curves'!$AL$10:$AN$10</c:f>
              <c:numCache>
                <c:formatCode>General</c:formatCode>
                <c:ptCount val="3"/>
                <c:pt idx="0">
                  <c:v>53</c:v>
                </c:pt>
                <c:pt idx="2">
                  <c:v>65.599999999999994</c:v>
                </c:pt>
              </c:numCache>
            </c:numRef>
          </c:xVal>
          <c:yVal>
            <c:numRef>
              <c:f>'Reference Curves'!$AL$13:$AN$13</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9-03DE-455A-B7C5-AC4D0B5EDAF8}"/>
            </c:ext>
          </c:extLst>
        </c:ser>
        <c:ser>
          <c:idx val="8"/>
          <c:order val="5"/>
          <c:tx>
            <c:v>NF Streams RR F</c:v>
          </c:tx>
          <c:spPr>
            <a:ln w="25400" cap="rnd">
              <a:noFill/>
              <a:round/>
            </a:ln>
            <a:effectLst/>
          </c:spPr>
          <c:marker>
            <c:symbol val="circle"/>
            <c:size val="5"/>
            <c:spPr>
              <a:solidFill>
                <a:schemeClr val="accent3">
                  <a:lumMod val="60000"/>
                </a:schemeClr>
              </a:solidFill>
              <a:ln w="9525">
                <a:solidFill>
                  <a:schemeClr val="accent3">
                    <a:lumMod val="60000"/>
                  </a:schemeClr>
                </a:solidFill>
              </a:ln>
              <a:effectLst/>
            </c:spPr>
          </c:marker>
          <c:trendline>
            <c:spPr>
              <a:ln w="19050" cap="rnd">
                <a:solidFill>
                  <a:schemeClr val="accent3">
                    <a:lumMod val="60000"/>
                  </a:schemeClr>
                </a:solidFill>
                <a:prstDash val="sysDot"/>
              </a:ln>
              <a:effectLst/>
            </c:spPr>
            <c:trendlineType val="linear"/>
            <c:dispRSqr val="0"/>
            <c:dispEq val="1"/>
            <c:trendlineLbl>
              <c:layout>
                <c:manualLayout>
                  <c:x val="9.6812193822608292E-2"/>
                  <c:y val="0.193048616683624"/>
                </c:manualLayout>
              </c:layout>
              <c:numFmt formatCode="#,##0.0000000000" sourceLinked="0"/>
              <c:spPr>
                <a:noFill/>
                <a:ln>
                  <a:noFill/>
                </a:ln>
                <a:effectLst/>
              </c:spPr>
              <c:txPr>
                <a:bodyPr rot="0" spcFirstLastPara="1" vertOverflow="ellipsis" vert="horz" wrap="square" anchor="ctr" anchorCtr="1"/>
                <a:lstStyle/>
                <a:p>
                  <a:pPr>
                    <a:defRPr sz="1050" b="0" i="0" u="none" strike="noStrike" kern="1200" baseline="0">
                      <a:solidFill>
                        <a:schemeClr val="bg1">
                          <a:lumMod val="50000"/>
                        </a:schemeClr>
                      </a:solidFill>
                      <a:latin typeface="+mn-lt"/>
                      <a:ea typeface="+mn-ea"/>
                      <a:cs typeface="+mn-cs"/>
                    </a:defRPr>
                  </a:pPr>
                  <a:endParaRPr lang="en-US"/>
                </a:p>
              </c:txPr>
            </c:trendlineLbl>
          </c:trendline>
          <c:xVal>
            <c:numRef>
              <c:f>'Reference Curves'!$AN$10:$AO$10</c:f>
              <c:numCache>
                <c:formatCode>General</c:formatCode>
                <c:ptCount val="2"/>
                <c:pt idx="0">
                  <c:v>65.599999999999994</c:v>
                </c:pt>
                <c:pt idx="1">
                  <c:v>82</c:v>
                </c:pt>
              </c:numCache>
            </c:numRef>
          </c:xVal>
          <c:yVal>
            <c:numRef>
              <c:f>'Reference Curves'!$AN$13:$AO$13</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B-03DE-455A-B7C5-AC4D0B5EDAF8}"/>
            </c:ext>
          </c:extLst>
        </c:ser>
        <c:ser>
          <c:idx val="9"/>
          <c:order val="6"/>
          <c:tx>
            <c:v>NF Streams GP NF</c:v>
          </c:tx>
          <c:spPr>
            <a:ln w="25400" cap="rnd">
              <a:noFill/>
              <a:round/>
            </a:ln>
            <a:effectLst/>
          </c:spPr>
          <c:marker>
            <c:symbol val="circle"/>
            <c:size val="5"/>
            <c:spPr>
              <a:solidFill>
                <a:schemeClr val="accent4">
                  <a:lumMod val="60000"/>
                </a:schemeClr>
              </a:solidFill>
              <a:ln w="9525">
                <a:solidFill>
                  <a:schemeClr val="accent4">
                    <a:lumMod val="60000"/>
                  </a:schemeClr>
                </a:solidFill>
              </a:ln>
              <a:effectLst/>
            </c:spPr>
          </c:marker>
          <c:trendline>
            <c:spPr>
              <a:ln w="19050" cap="rnd">
                <a:solidFill>
                  <a:schemeClr val="accent4">
                    <a:lumMod val="60000"/>
                  </a:schemeClr>
                </a:solidFill>
                <a:prstDash val="sysDot"/>
              </a:ln>
              <a:effectLst/>
            </c:spPr>
            <c:trendlineType val="linear"/>
            <c:dispRSqr val="0"/>
            <c:dispEq val="1"/>
            <c:trendlineLbl>
              <c:layout>
                <c:manualLayout>
                  <c:x val="0.11757774878586895"/>
                  <c:y val="9.4258504278324773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4">
                          <a:lumMod val="50000"/>
                        </a:schemeClr>
                      </a:solidFill>
                      <a:latin typeface="+mn-lt"/>
                      <a:ea typeface="+mn-ea"/>
                      <a:cs typeface="+mn-cs"/>
                    </a:defRPr>
                  </a:pPr>
                  <a:endParaRPr lang="en-US"/>
                </a:p>
              </c:txPr>
            </c:trendlineLbl>
          </c:trendline>
          <c:xVal>
            <c:numRef>
              <c:f>'Reference Curves'!$AJ$11:$AL$11</c:f>
              <c:numCache>
                <c:formatCode>General</c:formatCode>
                <c:ptCount val="3"/>
                <c:pt idx="0">
                  <c:v>37</c:v>
                </c:pt>
                <c:pt idx="2">
                  <c:v>51</c:v>
                </c:pt>
              </c:numCache>
              <c:extLst xmlns:c16r2="http://schemas.microsoft.com/office/drawing/2015/06/chart" xmlns:c15="http://schemas.microsoft.com/office/drawing/2012/chart"/>
            </c:numRef>
          </c:xVal>
          <c:yVal>
            <c:numRef>
              <c:f>'Reference Curves'!$AJ$13:$AL$13</c:f>
              <c:numCache>
                <c:formatCode>General</c:formatCode>
                <c:ptCount val="3"/>
                <c:pt idx="0">
                  <c:v>0</c:v>
                </c:pt>
                <c:pt idx="1">
                  <c:v>0.28999999999999998</c:v>
                </c:pt>
                <c:pt idx="2">
                  <c:v>0.3</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D-03DE-455A-B7C5-AC4D0B5EDAF8}"/>
            </c:ext>
          </c:extLst>
        </c:ser>
        <c:ser>
          <c:idx val="10"/>
          <c:order val="7"/>
          <c:tx>
            <c:v>NF Streams GP FAR</c:v>
          </c:tx>
          <c:spPr>
            <a:ln w="25400" cap="rnd">
              <a:noFill/>
              <a:round/>
            </a:ln>
            <a:effectLst/>
          </c:spPr>
          <c:marker>
            <c:symbol val="circle"/>
            <c:size val="5"/>
            <c:spPr>
              <a:solidFill>
                <a:schemeClr val="accent5">
                  <a:lumMod val="60000"/>
                </a:schemeClr>
              </a:solidFill>
              <a:ln w="9525">
                <a:solidFill>
                  <a:schemeClr val="accent5">
                    <a:lumMod val="60000"/>
                  </a:schemeClr>
                </a:solidFill>
              </a:ln>
              <a:effectLst/>
            </c:spPr>
          </c:marker>
          <c:trendline>
            <c:spPr>
              <a:ln w="19050" cap="rnd">
                <a:solidFill>
                  <a:schemeClr val="accent5">
                    <a:lumMod val="60000"/>
                  </a:schemeClr>
                </a:solidFill>
                <a:prstDash val="sysDot"/>
              </a:ln>
              <a:effectLst/>
            </c:spPr>
            <c:trendlineType val="linear"/>
            <c:dispRSqr val="0"/>
            <c:dispEq val="1"/>
            <c:trendlineLbl>
              <c:layout>
                <c:manualLayout>
                  <c:x val="0.13822063071460319"/>
                  <c:y val="5.8219173240869088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1">
                          <a:lumMod val="50000"/>
                        </a:schemeClr>
                      </a:solidFill>
                      <a:latin typeface="+mn-lt"/>
                      <a:ea typeface="+mn-ea"/>
                      <a:cs typeface="+mn-cs"/>
                    </a:defRPr>
                  </a:pPr>
                  <a:endParaRPr lang="en-US"/>
                </a:p>
              </c:txPr>
            </c:trendlineLbl>
          </c:trendline>
          <c:xVal>
            <c:numRef>
              <c:f>'Reference Curves'!$AL$11:$AN$11</c:f>
              <c:numCache>
                <c:formatCode>General</c:formatCode>
                <c:ptCount val="3"/>
                <c:pt idx="0">
                  <c:v>51</c:v>
                </c:pt>
                <c:pt idx="2">
                  <c:v>64.599999999999994</c:v>
                </c:pt>
              </c:numCache>
              <c:extLst xmlns:c16r2="http://schemas.microsoft.com/office/drawing/2015/06/chart" xmlns:c15="http://schemas.microsoft.com/office/drawing/2012/chart"/>
            </c:numRef>
          </c:xVal>
          <c:yVal>
            <c:numRef>
              <c:f>'Reference Curves'!$AL$13:$AN$13</c:f>
              <c:numCache>
                <c:formatCode>General</c:formatCode>
                <c:ptCount val="3"/>
                <c:pt idx="0">
                  <c:v>0.3</c:v>
                </c:pt>
                <c:pt idx="1">
                  <c:v>0.69</c:v>
                </c:pt>
                <c:pt idx="2">
                  <c:v>0.7</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F-03DE-455A-B7C5-AC4D0B5EDAF8}"/>
            </c:ext>
          </c:extLst>
        </c:ser>
        <c:ser>
          <c:idx val="11"/>
          <c:order val="8"/>
          <c:tx>
            <c:v>NF Streams GP F</c:v>
          </c:tx>
          <c:spPr>
            <a:ln w="25400" cap="rnd">
              <a:noFill/>
              <a:round/>
            </a:ln>
            <a:effectLst/>
          </c:spPr>
          <c:marker>
            <c:symbol val="circle"/>
            <c:size val="5"/>
            <c:spPr>
              <a:solidFill>
                <a:schemeClr val="accent6">
                  <a:lumMod val="60000"/>
                </a:schemeClr>
              </a:solidFill>
              <a:ln w="9525">
                <a:solidFill>
                  <a:schemeClr val="accent6">
                    <a:lumMod val="60000"/>
                  </a:schemeClr>
                </a:solidFill>
              </a:ln>
              <a:effectLst/>
            </c:spPr>
          </c:marker>
          <c:trendline>
            <c:spPr>
              <a:ln w="19050" cap="rnd">
                <a:solidFill>
                  <a:schemeClr val="accent6">
                    <a:lumMod val="60000"/>
                  </a:schemeClr>
                </a:solidFill>
                <a:prstDash val="sysDot"/>
              </a:ln>
              <a:effectLst/>
            </c:spPr>
            <c:trendlineType val="linear"/>
            <c:dispRSqr val="0"/>
            <c:dispEq val="1"/>
            <c:trendlineLbl>
              <c:layout>
                <c:manualLayout>
                  <c:x val="9.5661240672600831E-2"/>
                  <c:y val="-4.5303410920902225E-2"/>
                </c:manualLayout>
              </c:layout>
              <c:numFmt formatCode="#,##0.0000000000" sourceLinked="0"/>
              <c:spPr>
                <a:noFill/>
                <a:ln>
                  <a:noFill/>
                </a:ln>
                <a:effectLst/>
              </c:spPr>
              <c:txPr>
                <a:bodyPr rot="0" spcFirstLastPara="1" vertOverflow="ellipsis" vert="horz" wrap="square" anchor="ctr" anchorCtr="1"/>
                <a:lstStyle/>
                <a:p>
                  <a:pPr>
                    <a:defRPr sz="1050" b="0" i="0" u="none" strike="noStrike" kern="1200" baseline="0">
                      <a:solidFill>
                        <a:schemeClr val="accent6">
                          <a:lumMod val="75000"/>
                        </a:schemeClr>
                      </a:solidFill>
                      <a:latin typeface="+mn-lt"/>
                      <a:ea typeface="+mn-ea"/>
                      <a:cs typeface="+mn-cs"/>
                    </a:defRPr>
                  </a:pPr>
                  <a:endParaRPr lang="en-US"/>
                </a:p>
              </c:txPr>
            </c:trendlineLbl>
          </c:trendline>
          <c:xVal>
            <c:numRef>
              <c:f>'Reference Curves'!$AN$11:$AO$11</c:f>
              <c:numCache>
                <c:formatCode>General</c:formatCode>
                <c:ptCount val="2"/>
                <c:pt idx="0">
                  <c:v>64.599999999999994</c:v>
                </c:pt>
                <c:pt idx="1">
                  <c:v>76</c:v>
                </c:pt>
              </c:numCache>
              <c:extLst xmlns:c16r2="http://schemas.microsoft.com/office/drawing/2015/06/chart" xmlns:c15="http://schemas.microsoft.com/office/drawing/2012/chart"/>
            </c:numRef>
          </c:xVal>
          <c:yVal>
            <c:numRef>
              <c:f>'Reference Curves'!$AN$13:$AO$13</c:f>
              <c:numCache>
                <c:formatCode>General</c:formatCode>
                <c:ptCount val="2"/>
                <c:pt idx="0">
                  <c:v>0.7</c:v>
                </c:pt>
                <c:pt idx="1">
                  <c:v>1</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11-03DE-455A-B7C5-AC4D0B5EDAF8}"/>
            </c:ext>
          </c:extLst>
        </c:ser>
        <c:ser>
          <c:idx val="3"/>
          <c:order val="9"/>
          <c:tx>
            <c:v>Northern Coldwater NF</c:v>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4.2421848716626492E-2"/>
                  <c:y val="3.1070527474388283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4"/>
                      </a:solidFill>
                      <a:latin typeface="+mn-lt"/>
                      <a:ea typeface="+mn-ea"/>
                      <a:cs typeface="+mn-cs"/>
                    </a:defRPr>
                  </a:pPr>
                  <a:endParaRPr lang="en-US"/>
                </a:p>
              </c:txPr>
            </c:trendlineLbl>
          </c:trendline>
          <c:xVal>
            <c:numRef>
              <c:f>'Reference Curves'!$AJ$12:$AL$12</c:f>
              <c:numCache>
                <c:formatCode>General</c:formatCode>
                <c:ptCount val="3"/>
                <c:pt idx="0">
                  <c:v>19.600000000000001</c:v>
                </c:pt>
                <c:pt idx="2">
                  <c:v>32</c:v>
                </c:pt>
              </c:numCache>
              <c:extLst xmlns:c16r2="http://schemas.microsoft.com/office/drawing/2015/06/chart" xmlns:c15="http://schemas.microsoft.com/office/drawing/2012/chart"/>
            </c:numRef>
          </c:xVal>
          <c:yVal>
            <c:numRef>
              <c:f>'Reference Curves'!$AJ$13:$AL$13</c:f>
              <c:numCache>
                <c:formatCode>General</c:formatCode>
                <c:ptCount val="3"/>
                <c:pt idx="0">
                  <c:v>0</c:v>
                </c:pt>
                <c:pt idx="1">
                  <c:v>0.28999999999999998</c:v>
                </c:pt>
                <c:pt idx="2">
                  <c:v>0.3</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13-03DE-455A-B7C5-AC4D0B5EDAF8}"/>
            </c:ext>
          </c:extLst>
        </c:ser>
        <c:ser>
          <c:idx val="4"/>
          <c:order val="10"/>
          <c:tx>
            <c:v>Northern Coldwater FAR</c:v>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linear"/>
            <c:dispRSqr val="0"/>
            <c:dispEq val="1"/>
            <c:trendlineLbl>
              <c:layout>
                <c:manualLayout>
                  <c:x val="-6.2687128821580507E-2"/>
                  <c:y val="9.430226060452121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5"/>
                      </a:solidFill>
                      <a:latin typeface="+mn-lt"/>
                      <a:ea typeface="+mn-ea"/>
                      <a:cs typeface="+mn-cs"/>
                    </a:defRPr>
                  </a:pPr>
                  <a:endParaRPr lang="en-US"/>
                </a:p>
              </c:txPr>
            </c:trendlineLbl>
          </c:trendline>
          <c:xVal>
            <c:numRef>
              <c:f>'Reference Curves'!$AL$12:$AN$12</c:f>
              <c:numCache>
                <c:formatCode>General</c:formatCode>
                <c:ptCount val="3"/>
                <c:pt idx="0">
                  <c:v>32</c:v>
                </c:pt>
                <c:pt idx="2">
                  <c:v>44.4</c:v>
                </c:pt>
              </c:numCache>
              <c:extLst xmlns:c16r2="http://schemas.microsoft.com/office/drawing/2015/06/chart" xmlns:c15="http://schemas.microsoft.com/office/drawing/2012/chart"/>
            </c:numRef>
          </c:xVal>
          <c:yVal>
            <c:numRef>
              <c:f>'Reference Curves'!$AL$13:$AN$13</c:f>
              <c:numCache>
                <c:formatCode>General</c:formatCode>
                <c:ptCount val="3"/>
                <c:pt idx="0">
                  <c:v>0.3</c:v>
                </c:pt>
                <c:pt idx="1">
                  <c:v>0.69</c:v>
                </c:pt>
                <c:pt idx="2">
                  <c:v>0.7</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15-03DE-455A-B7C5-AC4D0B5EDAF8}"/>
            </c:ext>
          </c:extLst>
        </c:ser>
        <c:ser>
          <c:idx val="5"/>
          <c:order val="11"/>
          <c:tx>
            <c:v>Northern Coldwater F</c:v>
          </c:tx>
          <c:spPr>
            <a:ln w="2540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linear"/>
            <c:dispRSqr val="0"/>
            <c:dispEq val="1"/>
            <c:trendlineLbl>
              <c:layout>
                <c:manualLayout>
                  <c:x val="-1.6718835558429238E-2"/>
                  <c:y val="6.2580645161290326E-3"/>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6">
                          <a:lumMod val="75000"/>
                        </a:schemeClr>
                      </a:solidFill>
                      <a:latin typeface="+mn-lt"/>
                      <a:ea typeface="+mn-ea"/>
                      <a:cs typeface="+mn-cs"/>
                    </a:defRPr>
                  </a:pPr>
                  <a:endParaRPr lang="en-US"/>
                </a:p>
              </c:txPr>
            </c:trendlineLbl>
          </c:trendline>
          <c:xVal>
            <c:numRef>
              <c:f>'Reference Curves'!$AN$12:$AO$12</c:f>
              <c:numCache>
                <c:formatCode>General</c:formatCode>
                <c:ptCount val="2"/>
                <c:pt idx="0">
                  <c:v>44.4</c:v>
                </c:pt>
                <c:pt idx="1">
                  <c:v>52</c:v>
                </c:pt>
              </c:numCache>
              <c:extLst xmlns:c16r2="http://schemas.microsoft.com/office/drawing/2015/06/chart" xmlns:c15="http://schemas.microsoft.com/office/drawing/2012/chart"/>
            </c:numRef>
          </c:xVal>
          <c:yVal>
            <c:numRef>
              <c:f>'Reference Curves'!$AN$13:$AO$13</c:f>
              <c:numCache>
                <c:formatCode>General</c:formatCode>
                <c:ptCount val="2"/>
                <c:pt idx="0">
                  <c:v>0.7</c:v>
                </c:pt>
                <c:pt idx="1">
                  <c:v>1</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17-03DE-455A-B7C5-AC4D0B5EDAF8}"/>
            </c:ext>
          </c:extLst>
        </c:ser>
        <c:dLbls>
          <c:showLegendKey val="0"/>
          <c:showVal val="0"/>
          <c:showCatName val="0"/>
          <c:showSerName val="0"/>
          <c:showPercent val="0"/>
          <c:showBubbleSize val="0"/>
        </c:dLbls>
        <c:axId val="400839368"/>
        <c:axId val="400842112"/>
        <c:extLst xmlns:c16r2="http://schemas.microsoft.com/office/drawing/2015/06/chart"/>
      </c:scatterChart>
      <c:valAx>
        <c:axId val="400839368"/>
        <c:scaling>
          <c:orientation val="minMax"/>
          <c:min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Field Value (IBI)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42112"/>
        <c:crossesAt val="0"/>
        <c:crossBetween val="midCat"/>
      </c:valAx>
      <c:valAx>
        <c:axId val="40084211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Index</a:t>
                </a:r>
                <a:r>
                  <a:rPr lang="en-US" baseline="0"/>
                  <a:t> Value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39368"/>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Macroinvertebrate  IBI - Southern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SF Streams RR NF</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6.3058981737681577E-3"/>
                  <c:y val="1.4302657480314961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1"/>
                      </a:solidFill>
                      <a:latin typeface="+mn-lt"/>
                      <a:ea typeface="+mn-ea"/>
                      <a:cs typeface="+mn-cs"/>
                    </a:defRPr>
                  </a:pPr>
                  <a:endParaRPr lang="en-US"/>
                </a:p>
              </c:txPr>
            </c:trendlineLbl>
          </c:trendline>
          <c:xVal>
            <c:numRef>
              <c:f>'Reference Curves'!$AJ$57:$AL$57</c:f>
              <c:numCache>
                <c:formatCode>General</c:formatCode>
                <c:ptCount val="3"/>
                <c:pt idx="0">
                  <c:v>24</c:v>
                </c:pt>
                <c:pt idx="2">
                  <c:v>37</c:v>
                </c:pt>
              </c:numCache>
            </c:numRef>
          </c:xVal>
          <c:yVal>
            <c:numRef>
              <c:f>'Reference Curves'!$AJ$60:$AL$60</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1-5638-4944-83C5-57D88E77A9D0}"/>
            </c:ext>
          </c:extLst>
        </c:ser>
        <c:ser>
          <c:idx val="1"/>
          <c:order val="1"/>
          <c:tx>
            <c:v>SF Streams RR FAR</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2"/>
                      </a:solidFill>
                      <a:latin typeface="+mn-lt"/>
                      <a:ea typeface="+mn-ea"/>
                      <a:cs typeface="+mn-cs"/>
                    </a:defRPr>
                  </a:pPr>
                  <a:endParaRPr lang="en-US"/>
                </a:p>
              </c:txPr>
            </c:trendlineLbl>
          </c:trendline>
          <c:xVal>
            <c:numRef>
              <c:f>'Reference Curves'!$AL$57:$AN$57</c:f>
              <c:numCache>
                <c:formatCode>General</c:formatCode>
                <c:ptCount val="3"/>
                <c:pt idx="0">
                  <c:v>37</c:v>
                </c:pt>
                <c:pt idx="2">
                  <c:v>49.6</c:v>
                </c:pt>
              </c:numCache>
            </c:numRef>
          </c:xVal>
          <c:yVal>
            <c:numRef>
              <c:f>'Reference Curves'!$AL$60:$AN$60</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3-5638-4944-83C5-57D88E77A9D0}"/>
            </c:ext>
          </c:extLst>
        </c:ser>
        <c:ser>
          <c:idx val="2"/>
          <c:order val="2"/>
          <c:tx>
            <c:v>SF Streams RR NF</c:v>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1.8205308792761325E-2"/>
                  <c:y val="-1.875E-4"/>
                </c:manualLayout>
              </c:layout>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bg1">
                          <a:lumMod val="50000"/>
                        </a:schemeClr>
                      </a:solidFill>
                      <a:latin typeface="+mn-lt"/>
                      <a:ea typeface="+mn-ea"/>
                      <a:cs typeface="+mn-cs"/>
                    </a:defRPr>
                  </a:pPr>
                  <a:endParaRPr lang="en-US"/>
                </a:p>
              </c:txPr>
            </c:trendlineLbl>
          </c:trendline>
          <c:xVal>
            <c:numRef>
              <c:f>'Reference Curves'!$AN$57:$AO$57</c:f>
              <c:numCache>
                <c:formatCode>General</c:formatCode>
                <c:ptCount val="2"/>
                <c:pt idx="0">
                  <c:v>49.6</c:v>
                </c:pt>
                <c:pt idx="1">
                  <c:v>62</c:v>
                </c:pt>
              </c:numCache>
            </c:numRef>
          </c:xVal>
          <c:yVal>
            <c:numRef>
              <c:f>'Reference Curves'!$AN$60:$AO$60</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5-5638-4944-83C5-57D88E77A9D0}"/>
            </c:ext>
          </c:extLst>
        </c:ser>
        <c:ser>
          <c:idx val="3"/>
          <c:order val="3"/>
          <c:tx>
            <c:v>SF Streams GP NF</c:v>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0.11202499489516118"/>
                  <c:y val="7.5325081699319577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4"/>
                      </a:solidFill>
                      <a:latin typeface="+mn-lt"/>
                      <a:ea typeface="+mn-ea"/>
                      <a:cs typeface="+mn-cs"/>
                    </a:defRPr>
                  </a:pPr>
                  <a:endParaRPr lang="en-US"/>
                </a:p>
              </c:txPr>
            </c:trendlineLbl>
          </c:trendline>
          <c:xVal>
            <c:numRef>
              <c:f>'Reference Curves'!$AJ$58:$AL$58</c:f>
              <c:numCache>
                <c:formatCode>General</c:formatCode>
                <c:ptCount val="3"/>
                <c:pt idx="0">
                  <c:v>29.4</c:v>
                </c:pt>
                <c:pt idx="2">
                  <c:v>43</c:v>
                </c:pt>
              </c:numCache>
            </c:numRef>
          </c:xVal>
          <c:yVal>
            <c:numRef>
              <c:f>'Reference Curves'!$AJ$60:$AL$60</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7-5638-4944-83C5-57D88E77A9D0}"/>
            </c:ext>
          </c:extLst>
        </c:ser>
        <c:ser>
          <c:idx val="4"/>
          <c:order val="4"/>
          <c:tx>
            <c:v>SF Streams GP FAR</c:v>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linear"/>
            <c:dispRSqr val="0"/>
            <c:dispEq val="1"/>
            <c:trendlineLbl>
              <c:layout>
                <c:manualLayout>
                  <c:x val="0.12533898076157005"/>
                  <c:y val="7.1681979919353017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1">
                          <a:lumMod val="75000"/>
                        </a:schemeClr>
                      </a:solidFill>
                      <a:latin typeface="+mn-lt"/>
                      <a:ea typeface="+mn-ea"/>
                      <a:cs typeface="+mn-cs"/>
                    </a:defRPr>
                  </a:pPr>
                  <a:endParaRPr lang="en-US"/>
                </a:p>
              </c:txPr>
            </c:trendlineLbl>
          </c:trendline>
          <c:xVal>
            <c:numRef>
              <c:f>'Reference Curves'!$AL$58:$AN$58</c:f>
              <c:numCache>
                <c:formatCode>General</c:formatCode>
                <c:ptCount val="3"/>
                <c:pt idx="0">
                  <c:v>43</c:v>
                </c:pt>
                <c:pt idx="2">
                  <c:v>56.6</c:v>
                </c:pt>
              </c:numCache>
            </c:numRef>
          </c:xVal>
          <c:yVal>
            <c:numRef>
              <c:f>'Reference Curves'!$AL$60:$AN$60</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9-5638-4944-83C5-57D88E77A9D0}"/>
            </c:ext>
          </c:extLst>
        </c:ser>
        <c:ser>
          <c:idx val="5"/>
          <c:order val="5"/>
          <c:tx>
            <c:v>SF Streams GP F</c:v>
          </c:tx>
          <c:spPr>
            <a:ln w="2540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linear"/>
            <c:dispRSqr val="0"/>
            <c:dispEq val="1"/>
            <c:trendlineLbl>
              <c:layout>
                <c:manualLayout>
                  <c:x val="0.15021803648376106"/>
                  <c:y val="-4.6974194736767796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6"/>
                      </a:solidFill>
                      <a:latin typeface="+mn-lt"/>
                      <a:ea typeface="+mn-ea"/>
                      <a:cs typeface="+mn-cs"/>
                    </a:defRPr>
                  </a:pPr>
                  <a:endParaRPr lang="en-US"/>
                </a:p>
              </c:txPr>
            </c:trendlineLbl>
          </c:trendline>
          <c:xVal>
            <c:numRef>
              <c:f>'Reference Curves'!$AN$58:$AO$58</c:f>
              <c:numCache>
                <c:formatCode>General</c:formatCode>
                <c:ptCount val="2"/>
                <c:pt idx="0">
                  <c:v>56.6</c:v>
                </c:pt>
                <c:pt idx="1">
                  <c:v>65</c:v>
                </c:pt>
              </c:numCache>
            </c:numRef>
          </c:xVal>
          <c:yVal>
            <c:numRef>
              <c:f>'Reference Curves'!$AN$60:$AO$60</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B-5638-4944-83C5-57D88E77A9D0}"/>
            </c:ext>
          </c:extLst>
        </c:ser>
        <c:ser>
          <c:idx val="6"/>
          <c:order val="6"/>
          <c:tx>
            <c:v>Southern Coldwater NF</c:v>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trendline>
            <c:spPr>
              <a:ln w="19050" cap="rnd">
                <a:solidFill>
                  <a:schemeClr val="accent1">
                    <a:lumMod val="60000"/>
                  </a:schemeClr>
                </a:solidFill>
                <a:prstDash val="sysDot"/>
              </a:ln>
              <a:effectLst/>
            </c:spPr>
            <c:trendlineType val="linear"/>
            <c:dispRSqr val="0"/>
            <c:dispEq val="1"/>
            <c:trendlineLbl>
              <c:layout>
                <c:manualLayout>
                  <c:x val="0.10902874056695974"/>
                  <c:y val="0.1149393604387154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1">
                          <a:lumMod val="50000"/>
                        </a:schemeClr>
                      </a:solidFill>
                      <a:latin typeface="+mn-lt"/>
                      <a:ea typeface="+mn-ea"/>
                      <a:cs typeface="+mn-cs"/>
                    </a:defRPr>
                  </a:pPr>
                  <a:endParaRPr lang="en-US"/>
                </a:p>
              </c:txPr>
            </c:trendlineLbl>
          </c:trendline>
          <c:xVal>
            <c:numRef>
              <c:f>'Reference Curves'!$AJ$59:$AL$59</c:f>
              <c:numCache>
                <c:formatCode>General</c:formatCode>
                <c:ptCount val="3"/>
                <c:pt idx="0">
                  <c:v>29.2</c:v>
                </c:pt>
                <c:pt idx="2">
                  <c:v>43</c:v>
                </c:pt>
              </c:numCache>
            </c:numRef>
          </c:xVal>
          <c:yVal>
            <c:numRef>
              <c:f>'Reference Curves'!$AJ$60:$AL$60</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D-5638-4944-83C5-57D88E77A9D0}"/>
            </c:ext>
          </c:extLst>
        </c:ser>
        <c:ser>
          <c:idx val="8"/>
          <c:order val="8"/>
          <c:tx>
            <c:v>Southern Coldwater F</c:v>
          </c:tx>
          <c:spPr>
            <a:ln w="25400" cap="rnd">
              <a:noFill/>
              <a:round/>
            </a:ln>
            <a:effectLst/>
          </c:spPr>
          <c:marker>
            <c:symbol val="circle"/>
            <c:size val="5"/>
            <c:spPr>
              <a:solidFill>
                <a:schemeClr val="accent3">
                  <a:lumMod val="60000"/>
                </a:schemeClr>
              </a:solidFill>
              <a:ln w="9525">
                <a:solidFill>
                  <a:schemeClr val="accent3">
                    <a:lumMod val="60000"/>
                  </a:schemeClr>
                </a:solidFill>
              </a:ln>
              <a:effectLst/>
            </c:spPr>
          </c:marker>
          <c:trendline>
            <c:spPr>
              <a:ln w="19050" cap="rnd">
                <a:solidFill>
                  <a:schemeClr val="accent3">
                    <a:lumMod val="60000"/>
                  </a:schemeClr>
                </a:solidFill>
                <a:prstDash val="sysDot"/>
              </a:ln>
              <a:effectLst/>
            </c:spPr>
            <c:trendlineType val="linear"/>
            <c:dispRSqr val="0"/>
            <c:dispEq val="1"/>
            <c:trendlineLbl>
              <c:layout>
                <c:manualLayout>
                  <c:x val="0.11851613217539507"/>
                  <c:y val="8.1522015721598798E-3"/>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rendlineLbl>
          </c:trendline>
          <c:xVal>
            <c:numRef>
              <c:f>'Reference Curves'!$AN$59:$AO$59</c:f>
              <c:numCache>
                <c:formatCode>General</c:formatCode>
                <c:ptCount val="2"/>
                <c:pt idx="0">
                  <c:v>56.8</c:v>
                </c:pt>
                <c:pt idx="1">
                  <c:v>72</c:v>
                </c:pt>
              </c:numCache>
            </c:numRef>
          </c:xVal>
          <c:yVal>
            <c:numRef>
              <c:f>'Reference Curves'!$AN$60:$AO$60</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12-5638-4944-83C5-57D88E77A9D0}"/>
            </c:ext>
          </c:extLst>
        </c:ser>
        <c:dLbls>
          <c:showLegendKey val="0"/>
          <c:showVal val="0"/>
          <c:showCatName val="0"/>
          <c:showSerName val="0"/>
          <c:showPercent val="0"/>
          <c:showBubbleSize val="0"/>
        </c:dLbls>
        <c:axId val="400837408"/>
        <c:axId val="400838584"/>
        <c:extLst xmlns:c16r2="http://schemas.microsoft.com/office/drawing/2015/06/chart">
          <c:ext xmlns:c15="http://schemas.microsoft.com/office/drawing/2012/chart" uri="{02D57815-91ED-43cb-92C2-25804820EDAC}">
            <c15:filteredScatterSeries>
              <c15:ser>
                <c:idx val="7"/>
                <c:order val="7"/>
                <c:tx>
                  <c:v>Southern Coldwater FAR</c:v>
                </c:tx>
                <c:spPr>
                  <a:ln w="25400" cap="rnd">
                    <a:noFill/>
                    <a:round/>
                  </a:ln>
                  <a:effectLst/>
                </c:spPr>
                <c:marker>
                  <c:symbol val="circle"/>
                  <c:size val="5"/>
                  <c:spPr>
                    <a:solidFill>
                      <a:schemeClr val="accent2">
                        <a:lumMod val="60000"/>
                      </a:schemeClr>
                    </a:solidFill>
                    <a:ln w="9525">
                      <a:solidFill>
                        <a:schemeClr val="accent2">
                          <a:lumMod val="60000"/>
                        </a:schemeClr>
                      </a:solidFill>
                    </a:ln>
                    <a:effectLst/>
                  </c:spPr>
                </c:marker>
                <c:trendline>
                  <c:spPr>
                    <a:ln w="19050" cap="rnd">
                      <a:solidFill>
                        <a:schemeClr val="accent2">
                          <a:lumMod val="60000"/>
                        </a:schemeClr>
                      </a:solidFill>
                      <a:prstDash val="sysDot"/>
                    </a:ln>
                    <a:effectLst/>
                  </c:spPr>
                  <c:trendlineType val="linear"/>
                  <c:dispRSqr val="0"/>
                  <c:dispEq val="1"/>
                  <c:trendlineLbl>
                    <c:layout>
                      <c:manualLayout>
                        <c:x val="0.10597633596079667"/>
                        <c:y val="0.12797595497007341"/>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2">
                                <a:lumMod val="50000"/>
                              </a:schemeClr>
                            </a:solidFill>
                            <a:latin typeface="+mn-lt"/>
                            <a:ea typeface="+mn-ea"/>
                            <a:cs typeface="+mn-cs"/>
                          </a:defRPr>
                        </a:pPr>
                        <a:endParaRPr lang="en-US"/>
                      </a:p>
                    </c:txPr>
                  </c:trendlineLbl>
                </c:trendline>
                <c:xVal>
                  <c:numRef>
                    <c:extLst xmlns:c16r2="http://schemas.microsoft.com/office/drawing/2015/06/chart">
                      <c:ext uri="{02D57815-91ED-43cb-92C2-25804820EDAC}">
                        <c15:formulaRef>
                          <c15:sqref>'Reference Curves'!$AL$59:$AN$59</c15:sqref>
                        </c15:formulaRef>
                      </c:ext>
                    </c:extLst>
                    <c:numCache>
                      <c:formatCode>General</c:formatCode>
                      <c:ptCount val="3"/>
                      <c:pt idx="0">
                        <c:v>43</c:v>
                      </c:pt>
                      <c:pt idx="2">
                        <c:v>56.8</c:v>
                      </c:pt>
                    </c:numCache>
                  </c:numRef>
                </c:xVal>
                <c:yVal>
                  <c:numRef>
                    <c:extLst xmlns:c16r2="http://schemas.microsoft.com/office/drawing/2015/06/chart">
                      <c:ext uri="{02D57815-91ED-43cb-92C2-25804820EDAC}">
                        <c15:formulaRef>
                          <c15:sqref>'Reference Curves'!$AL$60:$AN$60</c15:sqref>
                        </c15:formulaRef>
                      </c:ext>
                    </c:extLst>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F-5638-4944-83C5-57D88E77A9D0}"/>
                  </c:ext>
                </c:extLst>
              </c15:ser>
            </c15:filteredScatterSeries>
          </c:ext>
        </c:extLst>
      </c:scatterChart>
      <c:valAx>
        <c:axId val="400837408"/>
        <c:scaling>
          <c:orientation val="minMax"/>
          <c:max val="75"/>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Field Value (IBI)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38584"/>
        <c:crossesAt val="0"/>
        <c:crossBetween val="midCat"/>
        <c:majorUnit val="5"/>
      </c:valAx>
      <c:valAx>
        <c:axId val="40083858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Index</a:t>
                </a:r>
                <a:r>
                  <a:rPr lang="en-US" baseline="0"/>
                  <a:t> Value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37408"/>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Macroinvertebrate  IBI - Prairie</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533126149728007E-2"/>
          <c:y val="8.2040820795508229E-2"/>
          <c:w val="0.67822230709581033"/>
          <c:h val="0.82580426497679549"/>
        </c:manualLayout>
      </c:layout>
      <c:scatterChart>
        <c:scatterStyle val="lineMarker"/>
        <c:varyColors val="0"/>
        <c:ser>
          <c:idx val="3"/>
          <c:order val="0"/>
          <c:tx>
            <c:v>PF Rivers NF</c:v>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2.8153957899211671E-2"/>
                  <c:y val="5.4444389763779528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4"/>
                      </a:solidFill>
                      <a:latin typeface="+mn-lt"/>
                      <a:ea typeface="+mn-ea"/>
                      <a:cs typeface="+mn-cs"/>
                    </a:defRPr>
                  </a:pPr>
                  <a:endParaRPr lang="en-US"/>
                </a:p>
              </c:txPr>
            </c:trendlineLbl>
          </c:trendline>
          <c:xVal>
            <c:numRef>
              <c:f>'Reference Curves'!$AJ$103:$AL$103</c:f>
              <c:numCache>
                <c:formatCode>General</c:formatCode>
                <c:ptCount val="3"/>
                <c:pt idx="0">
                  <c:v>20.2</c:v>
                </c:pt>
                <c:pt idx="2">
                  <c:v>31</c:v>
                </c:pt>
              </c:numCache>
            </c:numRef>
          </c:xVal>
          <c:yVal>
            <c:numRef>
              <c:f>'Reference Curves'!$AJ$105:$AL$105</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1-F16D-4CBC-8CDA-9960D54443A2}"/>
            </c:ext>
          </c:extLst>
        </c:ser>
        <c:ser>
          <c:idx val="4"/>
          <c:order val="1"/>
          <c:tx>
            <c:v>PF Rivers FAR</c:v>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linear"/>
            <c:dispRSqr val="0"/>
            <c:dispEq val="1"/>
            <c:trendlineLbl>
              <c:layout>
                <c:manualLayout>
                  <c:x val="-4.1125642179428795E-2"/>
                  <c:y val="0.12616666666666668"/>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rgbClr val="0070C0"/>
                      </a:solidFill>
                      <a:latin typeface="+mn-lt"/>
                      <a:ea typeface="+mn-ea"/>
                      <a:cs typeface="+mn-cs"/>
                    </a:defRPr>
                  </a:pPr>
                  <a:endParaRPr lang="en-US"/>
                </a:p>
              </c:txPr>
            </c:trendlineLbl>
          </c:trendline>
          <c:xVal>
            <c:numRef>
              <c:f>'Reference Curves'!$AL$103:$AN$103</c:f>
              <c:numCache>
                <c:formatCode>General</c:formatCode>
                <c:ptCount val="3"/>
                <c:pt idx="0">
                  <c:v>31</c:v>
                </c:pt>
                <c:pt idx="2">
                  <c:v>41.8</c:v>
                </c:pt>
              </c:numCache>
            </c:numRef>
          </c:xVal>
          <c:yVal>
            <c:numRef>
              <c:f>'Reference Curves'!$AL$105:$AN$105</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3-F16D-4CBC-8CDA-9960D54443A2}"/>
            </c:ext>
          </c:extLst>
        </c:ser>
        <c:ser>
          <c:idx val="5"/>
          <c:order val="2"/>
          <c:tx>
            <c:v>PF Rivers F</c:v>
          </c:tx>
          <c:spPr>
            <a:ln w="2540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linear"/>
            <c:dispRSqr val="0"/>
            <c:dispEq val="1"/>
            <c:trendlineLbl>
              <c:layout>
                <c:manualLayout>
                  <c:x val="-4.780268944674386E-2"/>
                  <c:y val="3.222916666666667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6"/>
                      </a:solidFill>
                      <a:latin typeface="+mn-lt"/>
                      <a:ea typeface="+mn-ea"/>
                      <a:cs typeface="+mn-cs"/>
                    </a:defRPr>
                  </a:pPr>
                  <a:endParaRPr lang="en-US"/>
                </a:p>
              </c:txPr>
            </c:trendlineLbl>
          </c:trendline>
          <c:xVal>
            <c:numRef>
              <c:f>'Reference Curves'!$AN$103:$AO$103</c:f>
              <c:numCache>
                <c:formatCode>General</c:formatCode>
                <c:ptCount val="2"/>
                <c:pt idx="0">
                  <c:v>41.8</c:v>
                </c:pt>
                <c:pt idx="1">
                  <c:v>62</c:v>
                </c:pt>
              </c:numCache>
            </c:numRef>
          </c:xVal>
          <c:yVal>
            <c:numRef>
              <c:f>'Reference Curves'!$AN$105:$AO$105</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5-F16D-4CBC-8CDA-9960D54443A2}"/>
            </c:ext>
          </c:extLst>
        </c:ser>
        <c:ser>
          <c:idx val="0"/>
          <c:order val="3"/>
          <c:tx>
            <c:v>Prairie Streams GP NF</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4191666834802055"/>
                  <c:y val="6.0694389763779527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rendlineLbl>
          </c:trendline>
          <c:xVal>
            <c:numRef>
              <c:f>'Reference Curves'!$AJ$104:$AL$104</c:f>
              <c:numCache>
                <c:formatCode>General</c:formatCode>
                <c:ptCount val="3"/>
                <c:pt idx="0">
                  <c:v>27.4</c:v>
                </c:pt>
                <c:pt idx="2">
                  <c:v>41</c:v>
                </c:pt>
              </c:numCache>
            </c:numRef>
          </c:xVal>
          <c:yVal>
            <c:numRef>
              <c:f>'Reference Curves'!$AJ$105:$AL$105</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7-F16D-4CBC-8CDA-9960D54443A2}"/>
            </c:ext>
          </c:extLst>
        </c:ser>
        <c:ser>
          <c:idx val="1"/>
          <c:order val="4"/>
          <c:tx>
            <c:v>Prairie Streams FAR</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0571191885958224"/>
                  <c:y val="0.12616666666666668"/>
                </c:manualLayout>
              </c:layout>
              <c:numFmt formatCode="#,##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'Reference Curves'!$AL$104:$AN$104</c:f>
              <c:numCache>
                <c:formatCode>General</c:formatCode>
                <c:ptCount val="3"/>
                <c:pt idx="0">
                  <c:v>41</c:v>
                </c:pt>
                <c:pt idx="2">
                  <c:v>54.6</c:v>
                </c:pt>
              </c:numCache>
            </c:numRef>
          </c:xVal>
          <c:yVal>
            <c:numRef>
              <c:f>'Reference Curves'!$AL$105:$AN$105</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9-F16D-4CBC-8CDA-9960D54443A2}"/>
            </c:ext>
          </c:extLst>
        </c:ser>
        <c:ser>
          <c:idx val="2"/>
          <c:order val="5"/>
          <c:tx>
            <c:v>Prairie Streams GP F</c:v>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9.5507547558463024E-2"/>
                  <c:y val="8.6395833333333338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bg1">
                          <a:lumMod val="50000"/>
                        </a:schemeClr>
                      </a:solidFill>
                      <a:latin typeface="+mn-lt"/>
                      <a:ea typeface="+mn-ea"/>
                      <a:cs typeface="+mn-cs"/>
                    </a:defRPr>
                  </a:pPr>
                  <a:endParaRPr lang="en-US"/>
                </a:p>
              </c:txPr>
            </c:trendlineLbl>
          </c:trendline>
          <c:xVal>
            <c:numRef>
              <c:f>'Reference Curves'!$AN$104:$AO$104</c:f>
              <c:numCache>
                <c:formatCode>General</c:formatCode>
                <c:ptCount val="2"/>
                <c:pt idx="0">
                  <c:v>54.6</c:v>
                </c:pt>
                <c:pt idx="1">
                  <c:v>69</c:v>
                </c:pt>
              </c:numCache>
            </c:numRef>
          </c:xVal>
          <c:yVal>
            <c:numRef>
              <c:f>'Reference Curves'!$AN$105:$AO$105</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B-F16D-4CBC-8CDA-9960D54443A2}"/>
            </c:ext>
          </c:extLst>
        </c:ser>
        <c:dLbls>
          <c:showLegendKey val="0"/>
          <c:showVal val="0"/>
          <c:showCatName val="0"/>
          <c:showSerName val="0"/>
          <c:showPercent val="0"/>
          <c:showBubbleSize val="0"/>
        </c:dLbls>
        <c:axId val="400838192"/>
        <c:axId val="400842504"/>
      </c:scatterChart>
      <c:valAx>
        <c:axId val="4008381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Field Value (IBI)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42504"/>
        <c:crossesAt val="0"/>
        <c:crossBetween val="midCat"/>
      </c:valAx>
      <c:valAx>
        <c:axId val="40084250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Index</a:t>
                </a:r>
                <a:r>
                  <a:rPr lang="en-US" baseline="0"/>
                  <a:t> Value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38192"/>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Fish IBI - Northern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Northern Rivers NF</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14800920145148E-2"/>
                  <c:y val="7.0536539435725576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1"/>
                      </a:solidFill>
                      <a:latin typeface="+mn-lt"/>
                      <a:ea typeface="+mn-ea"/>
                      <a:cs typeface="+mn-cs"/>
                    </a:defRPr>
                  </a:pPr>
                  <a:endParaRPr lang="en-US"/>
                </a:p>
              </c:txPr>
            </c:trendlineLbl>
          </c:trendline>
          <c:xVal>
            <c:numRef>
              <c:f>'Reference Curves'!$AJ$147:$AL$147</c:f>
              <c:numCache>
                <c:formatCode>General</c:formatCode>
                <c:ptCount val="3"/>
                <c:pt idx="0">
                  <c:v>29</c:v>
                </c:pt>
                <c:pt idx="2">
                  <c:v>38</c:v>
                </c:pt>
              </c:numCache>
            </c:numRef>
          </c:xVal>
          <c:yVal>
            <c:numRef>
              <c:f>'Reference Curves'!$AJ$151:$AL$151</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1-E00D-4D91-A9A1-54296C763F7D}"/>
            </c:ext>
          </c:extLst>
        </c:ser>
        <c:ser>
          <c:idx val="1"/>
          <c:order val="1"/>
          <c:tx>
            <c:v>Northern Rivers FAR</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327010504317013"/>
                  <c:y val="0.16575000000000001"/>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2"/>
                      </a:solidFill>
                      <a:latin typeface="+mn-lt"/>
                      <a:ea typeface="+mn-ea"/>
                      <a:cs typeface="+mn-cs"/>
                    </a:defRPr>
                  </a:pPr>
                  <a:endParaRPr lang="en-US"/>
                </a:p>
              </c:txPr>
            </c:trendlineLbl>
          </c:trendline>
          <c:xVal>
            <c:numRef>
              <c:f>'Reference Curves'!$AL$147:$AN$147</c:f>
              <c:numCache>
                <c:formatCode>General</c:formatCode>
                <c:ptCount val="3"/>
                <c:pt idx="0">
                  <c:v>38</c:v>
                </c:pt>
                <c:pt idx="2">
                  <c:v>47</c:v>
                </c:pt>
              </c:numCache>
            </c:numRef>
          </c:xVal>
          <c:yVal>
            <c:numRef>
              <c:f>'Reference Curves'!$AL$151:$AN$151</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3-E00D-4D91-A9A1-54296C763F7D}"/>
            </c:ext>
          </c:extLst>
        </c:ser>
        <c:ser>
          <c:idx val="2"/>
          <c:order val="2"/>
          <c:tx>
            <c:v>Northern Rivers F</c:v>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20852690408634683"/>
                  <c:y val="8.0145833333333333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bg1">
                          <a:lumMod val="50000"/>
                        </a:schemeClr>
                      </a:solidFill>
                      <a:latin typeface="+mn-lt"/>
                      <a:ea typeface="+mn-ea"/>
                      <a:cs typeface="+mn-cs"/>
                    </a:defRPr>
                  </a:pPr>
                  <a:endParaRPr lang="en-US"/>
                </a:p>
              </c:txPr>
            </c:trendlineLbl>
          </c:trendline>
          <c:xVal>
            <c:numRef>
              <c:f>'Reference Curves'!$AN$147:$AO$147</c:f>
              <c:numCache>
                <c:formatCode>General</c:formatCode>
                <c:ptCount val="2"/>
                <c:pt idx="0">
                  <c:v>47</c:v>
                </c:pt>
                <c:pt idx="1">
                  <c:v>66</c:v>
                </c:pt>
              </c:numCache>
            </c:numRef>
          </c:xVal>
          <c:yVal>
            <c:numRef>
              <c:f>'Reference Curves'!$AN$151:$AO$151</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5-E00D-4D91-A9A1-54296C763F7D}"/>
            </c:ext>
          </c:extLst>
        </c:ser>
        <c:ser>
          <c:idx val="3"/>
          <c:order val="3"/>
          <c:tx>
            <c:v>Northern Streams NF</c:v>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0.1568482638339842"/>
                  <c:y val="0.15861105643044621"/>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4"/>
                      </a:solidFill>
                      <a:latin typeface="+mn-lt"/>
                      <a:ea typeface="+mn-ea"/>
                      <a:cs typeface="+mn-cs"/>
                    </a:defRPr>
                  </a:pPr>
                  <a:endParaRPr lang="en-US"/>
                </a:p>
              </c:txPr>
            </c:trendlineLbl>
          </c:trendline>
          <c:xVal>
            <c:numRef>
              <c:f>'Reference Curves'!$AJ$148:$AL$148</c:f>
              <c:numCache>
                <c:formatCode>General</c:formatCode>
                <c:ptCount val="3"/>
                <c:pt idx="0">
                  <c:v>35</c:v>
                </c:pt>
                <c:pt idx="2">
                  <c:v>47</c:v>
                </c:pt>
              </c:numCache>
            </c:numRef>
          </c:xVal>
          <c:yVal>
            <c:numRef>
              <c:f>'Reference Curves'!$AJ$151:$AL$151</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7-E00D-4D91-A9A1-54296C763F7D}"/>
            </c:ext>
          </c:extLst>
        </c:ser>
        <c:ser>
          <c:idx val="4"/>
          <c:order val="4"/>
          <c:tx>
            <c:v>Northern Streams FAR</c:v>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linear"/>
            <c:dispRSqr val="0"/>
            <c:dispEq val="1"/>
            <c:trendlineLbl>
              <c:layout>
                <c:manualLayout>
                  <c:x val="0.11639559332006712"/>
                  <c:y val="0.17408333333333334"/>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1">
                          <a:lumMod val="50000"/>
                        </a:schemeClr>
                      </a:solidFill>
                      <a:latin typeface="+mn-lt"/>
                      <a:ea typeface="+mn-ea"/>
                      <a:cs typeface="+mn-cs"/>
                    </a:defRPr>
                  </a:pPr>
                  <a:endParaRPr lang="en-US"/>
                </a:p>
              </c:txPr>
            </c:trendlineLbl>
          </c:trendline>
          <c:xVal>
            <c:numRef>
              <c:f>'Reference Curves'!$AL$148:$AN$148</c:f>
              <c:numCache>
                <c:formatCode>General</c:formatCode>
                <c:ptCount val="3"/>
                <c:pt idx="0">
                  <c:v>47</c:v>
                </c:pt>
                <c:pt idx="2">
                  <c:v>56</c:v>
                </c:pt>
              </c:numCache>
            </c:numRef>
          </c:xVal>
          <c:yVal>
            <c:numRef>
              <c:f>'Reference Curves'!$AL$151:$AN$151</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9-E00D-4D91-A9A1-54296C763F7D}"/>
            </c:ext>
          </c:extLst>
        </c:ser>
        <c:ser>
          <c:idx val="5"/>
          <c:order val="5"/>
          <c:tx>
            <c:v>Northern Streams F</c:v>
          </c:tx>
          <c:spPr>
            <a:ln w="2540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linear"/>
            <c:dispRSqr val="0"/>
            <c:dispEq val="1"/>
            <c:trendlineLbl>
              <c:layout>
                <c:manualLayout>
                  <c:x val="0.1568691439030902"/>
                  <c:y val="6.1395833333333351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6"/>
                      </a:solidFill>
                      <a:latin typeface="+mn-lt"/>
                      <a:ea typeface="+mn-ea"/>
                      <a:cs typeface="+mn-cs"/>
                    </a:defRPr>
                  </a:pPr>
                  <a:endParaRPr lang="en-US"/>
                </a:p>
              </c:txPr>
            </c:trendlineLbl>
          </c:trendline>
          <c:xVal>
            <c:numRef>
              <c:f>'Reference Curves'!$AN$148:$AO$148</c:f>
              <c:numCache>
                <c:formatCode>General</c:formatCode>
                <c:ptCount val="2"/>
                <c:pt idx="0">
                  <c:v>56</c:v>
                </c:pt>
                <c:pt idx="1">
                  <c:v>61</c:v>
                </c:pt>
              </c:numCache>
            </c:numRef>
          </c:xVal>
          <c:yVal>
            <c:numRef>
              <c:f>'Reference Curves'!$AN$151:$AO$151</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B-E00D-4D91-A9A1-54296C763F7D}"/>
            </c:ext>
          </c:extLst>
        </c:ser>
        <c:ser>
          <c:idx val="6"/>
          <c:order val="6"/>
          <c:tx>
            <c:v>Northern Headwaters NF</c:v>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trendline>
            <c:spPr>
              <a:ln w="19050" cap="rnd">
                <a:solidFill>
                  <a:schemeClr val="accent1">
                    <a:lumMod val="60000"/>
                  </a:schemeClr>
                </a:solidFill>
                <a:prstDash val="sysDot"/>
              </a:ln>
              <a:effectLst/>
            </c:spPr>
            <c:trendlineType val="linear"/>
            <c:dispRSqr val="0"/>
            <c:dispEq val="1"/>
            <c:trendlineLbl>
              <c:layout>
                <c:manualLayout>
                  <c:x val="0.23311212972481946"/>
                  <c:y val="0.12944438976377953"/>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1">
                          <a:lumMod val="75000"/>
                        </a:schemeClr>
                      </a:solidFill>
                      <a:latin typeface="+mn-lt"/>
                      <a:ea typeface="+mn-ea"/>
                      <a:cs typeface="+mn-cs"/>
                    </a:defRPr>
                  </a:pPr>
                  <a:endParaRPr lang="en-US"/>
                </a:p>
              </c:txPr>
            </c:trendlineLbl>
          </c:trendline>
          <c:xVal>
            <c:numRef>
              <c:f>'Reference Curves'!$AJ$149:$AL$149</c:f>
              <c:numCache>
                <c:formatCode>General</c:formatCode>
                <c:ptCount val="3"/>
                <c:pt idx="0">
                  <c:v>23</c:v>
                </c:pt>
                <c:pt idx="2">
                  <c:v>42</c:v>
                </c:pt>
              </c:numCache>
            </c:numRef>
          </c:xVal>
          <c:yVal>
            <c:numRef>
              <c:f>'Reference Curves'!$AJ$151:$AL$151</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D-E00D-4D91-A9A1-54296C763F7D}"/>
            </c:ext>
          </c:extLst>
        </c:ser>
        <c:ser>
          <c:idx val="7"/>
          <c:order val="7"/>
          <c:tx>
            <c:v>Northern Headwaters FAR</c:v>
          </c:tx>
          <c:spPr>
            <a:ln w="25400" cap="rnd">
              <a:noFill/>
              <a:round/>
            </a:ln>
            <a:effectLst/>
          </c:spPr>
          <c:marker>
            <c:symbol val="circle"/>
            <c:size val="5"/>
            <c:spPr>
              <a:solidFill>
                <a:schemeClr val="accent2">
                  <a:lumMod val="60000"/>
                </a:schemeClr>
              </a:solidFill>
              <a:ln w="9525">
                <a:solidFill>
                  <a:schemeClr val="accent2">
                    <a:lumMod val="60000"/>
                  </a:schemeClr>
                </a:solidFill>
              </a:ln>
              <a:effectLst/>
            </c:spPr>
          </c:marker>
          <c:trendline>
            <c:spPr>
              <a:ln w="19050" cap="rnd">
                <a:solidFill>
                  <a:schemeClr val="accent2">
                    <a:lumMod val="60000"/>
                  </a:schemeClr>
                </a:solidFill>
                <a:prstDash val="sysDot"/>
              </a:ln>
              <a:effectLst/>
            </c:spPr>
            <c:trendlineType val="linear"/>
            <c:dispRSqr val="0"/>
            <c:dispEq val="1"/>
            <c:trendlineLbl>
              <c:layout>
                <c:manualLayout>
                  <c:x val="8.1265815479310249E-2"/>
                  <c:y val="0.14283333333333334"/>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rgbClr val="C00000"/>
                      </a:solidFill>
                      <a:latin typeface="+mn-lt"/>
                      <a:ea typeface="+mn-ea"/>
                      <a:cs typeface="+mn-cs"/>
                    </a:defRPr>
                  </a:pPr>
                  <a:endParaRPr lang="en-US"/>
                </a:p>
              </c:txPr>
            </c:trendlineLbl>
          </c:trendline>
          <c:xVal>
            <c:numRef>
              <c:f>'Reference Curves'!$AL$149:$AN$149</c:f>
              <c:numCache>
                <c:formatCode>General</c:formatCode>
                <c:ptCount val="3"/>
                <c:pt idx="0">
                  <c:v>42</c:v>
                </c:pt>
                <c:pt idx="2">
                  <c:v>58</c:v>
                </c:pt>
              </c:numCache>
            </c:numRef>
          </c:xVal>
          <c:yVal>
            <c:numRef>
              <c:f>'Reference Curves'!$AL$151:$AN$151</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F-E00D-4D91-A9A1-54296C763F7D}"/>
            </c:ext>
          </c:extLst>
        </c:ser>
        <c:ser>
          <c:idx val="8"/>
          <c:order val="8"/>
          <c:tx>
            <c:v>Northern Headwaters F</c:v>
          </c:tx>
          <c:spPr>
            <a:ln w="25400" cap="rnd">
              <a:noFill/>
              <a:round/>
            </a:ln>
            <a:effectLst/>
          </c:spPr>
          <c:marker>
            <c:symbol val="circle"/>
            <c:size val="5"/>
            <c:spPr>
              <a:solidFill>
                <a:schemeClr val="accent3">
                  <a:lumMod val="60000"/>
                </a:schemeClr>
              </a:solidFill>
              <a:ln w="9525">
                <a:solidFill>
                  <a:schemeClr val="accent3">
                    <a:lumMod val="60000"/>
                  </a:schemeClr>
                </a:solidFill>
              </a:ln>
              <a:effectLst/>
            </c:spPr>
          </c:marker>
          <c:trendline>
            <c:spPr>
              <a:ln w="19050" cap="rnd">
                <a:solidFill>
                  <a:schemeClr val="accent3">
                    <a:lumMod val="60000"/>
                  </a:schemeClr>
                </a:solidFill>
                <a:prstDash val="sysDot"/>
              </a:ln>
              <a:effectLst/>
            </c:spPr>
            <c:trendlineType val="linear"/>
            <c:dispRSqr val="0"/>
            <c:dispEq val="1"/>
            <c:trendlineLbl>
              <c:layout>
                <c:manualLayout>
                  <c:x val="8.8736272447962172E-2"/>
                  <c:y val="0.10621535716351178"/>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bg2">
                          <a:lumMod val="25000"/>
                        </a:schemeClr>
                      </a:solidFill>
                      <a:latin typeface="+mn-lt"/>
                      <a:ea typeface="+mn-ea"/>
                      <a:cs typeface="+mn-cs"/>
                    </a:defRPr>
                  </a:pPr>
                  <a:endParaRPr lang="en-US"/>
                </a:p>
              </c:txPr>
            </c:trendlineLbl>
          </c:trendline>
          <c:xVal>
            <c:numRef>
              <c:f>'Reference Curves'!$AN$149:$AO$149</c:f>
              <c:numCache>
                <c:formatCode>General</c:formatCode>
                <c:ptCount val="2"/>
                <c:pt idx="0">
                  <c:v>58</c:v>
                </c:pt>
                <c:pt idx="1">
                  <c:v>68</c:v>
                </c:pt>
              </c:numCache>
            </c:numRef>
          </c:xVal>
          <c:yVal>
            <c:numRef>
              <c:f>'Reference Curves'!$AN$151:$AO$151</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11-E00D-4D91-A9A1-54296C763F7D}"/>
            </c:ext>
          </c:extLst>
        </c:ser>
        <c:ser>
          <c:idx val="9"/>
          <c:order val="9"/>
          <c:tx>
            <c:v>Northern Coldwater NF</c:v>
          </c:tx>
          <c:spPr>
            <a:ln w="25400" cap="rnd">
              <a:noFill/>
              <a:round/>
            </a:ln>
            <a:effectLst/>
          </c:spPr>
          <c:marker>
            <c:symbol val="circle"/>
            <c:size val="5"/>
            <c:spPr>
              <a:solidFill>
                <a:schemeClr val="accent4">
                  <a:lumMod val="60000"/>
                </a:schemeClr>
              </a:solidFill>
              <a:ln w="9525">
                <a:solidFill>
                  <a:schemeClr val="accent4">
                    <a:lumMod val="60000"/>
                  </a:schemeClr>
                </a:solidFill>
              </a:ln>
              <a:effectLst/>
            </c:spPr>
          </c:marker>
          <c:trendline>
            <c:spPr>
              <a:ln w="19050" cap="rnd">
                <a:solidFill>
                  <a:schemeClr val="accent4">
                    <a:lumMod val="60000"/>
                  </a:schemeClr>
                </a:solidFill>
                <a:prstDash val="sysDot"/>
              </a:ln>
              <a:effectLst/>
            </c:spPr>
            <c:trendlineType val="linear"/>
            <c:dispRSqr val="0"/>
            <c:dispEq val="1"/>
            <c:trendlineLbl>
              <c:layout>
                <c:manualLayout>
                  <c:x val="-4.5632100689793023E-2"/>
                  <c:y val="3.5694389763779526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4">
                          <a:lumMod val="50000"/>
                        </a:schemeClr>
                      </a:solidFill>
                      <a:latin typeface="+mn-lt"/>
                      <a:ea typeface="+mn-ea"/>
                      <a:cs typeface="+mn-cs"/>
                    </a:defRPr>
                  </a:pPr>
                  <a:endParaRPr lang="en-US"/>
                </a:p>
              </c:txPr>
            </c:trendlineLbl>
          </c:trendline>
          <c:xVal>
            <c:numRef>
              <c:f>'Reference Curves'!$AJ$150:$AL$150</c:f>
              <c:numCache>
                <c:formatCode>General</c:formatCode>
                <c:ptCount val="3"/>
                <c:pt idx="0">
                  <c:v>25</c:v>
                </c:pt>
                <c:pt idx="2">
                  <c:v>35</c:v>
                </c:pt>
              </c:numCache>
            </c:numRef>
          </c:xVal>
          <c:yVal>
            <c:numRef>
              <c:f>'Reference Curves'!$AJ$151:$AL$151</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13-E00D-4D91-A9A1-54296C763F7D}"/>
            </c:ext>
          </c:extLst>
        </c:ser>
        <c:ser>
          <c:idx val="10"/>
          <c:order val="10"/>
          <c:tx>
            <c:v>Northern Coldwater FAR</c:v>
          </c:tx>
          <c:spPr>
            <a:ln w="25400" cap="rnd">
              <a:noFill/>
              <a:round/>
            </a:ln>
            <a:effectLst/>
          </c:spPr>
          <c:marker>
            <c:symbol val="circle"/>
            <c:size val="5"/>
            <c:spPr>
              <a:solidFill>
                <a:schemeClr val="accent5">
                  <a:lumMod val="60000"/>
                </a:schemeClr>
              </a:solidFill>
              <a:ln w="9525">
                <a:solidFill>
                  <a:schemeClr val="accent5">
                    <a:lumMod val="60000"/>
                  </a:schemeClr>
                </a:solidFill>
              </a:ln>
              <a:effectLst/>
            </c:spPr>
          </c:marker>
          <c:trendline>
            <c:spPr>
              <a:ln w="19050" cap="rnd">
                <a:solidFill>
                  <a:schemeClr val="accent5">
                    <a:lumMod val="60000"/>
                  </a:schemeClr>
                </a:solidFill>
                <a:prstDash val="sysDot"/>
              </a:ln>
              <a:effectLst/>
            </c:spPr>
            <c:trendlineType val="linear"/>
            <c:dispRSqr val="0"/>
            <c:dispEq val="1"/>
            <c:trendlineLbl>
              <c:layout>
                <c:manualLayout>
                  <c:x val="-0.14458814415599711"/>
                  <c:y val="0.12616666666666668"/>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tx2">
                          <a:lumMod val="50000"/>
                        </a:schemeClr>
                      </a:solidFill>
                      <a:latin typeface="+mn-lt"/>
                      <a:ea typeface="+mn-ea"/>
                      <a:cs typeface="+mn-cs"/>
                    </a:defRPr>
                  </a:pPr>
                  <a:endParaRPr lang="en-US"/>
                </a:p>
              </c:txPr>
            </c:trendlineLbl>
          </c:trendline>
          <c:xVal>
            <c:numRef>
              <c:f>'Reference Curves'!$AL$150:$AN$150</c:f>
              <c:numCache>
                <c:formatCode>General</c:formatCode>
                <c:ptCount val="3"/>
                <c:pt idx="0">
                  <c:v>35</c:v>
                </c:pt>
                <c:pt idx="2">
                  <c:v>45</c:v>
                </c:pt>
              </c:numCache>
            </c:numRef>
          </c:xVal>
          <c:yVal>
            <c:numRef>
              <c:f>'Reference Curves'!$AL$151:$AN$151</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15-E00D-4D91-A9A1-54296C763F7D}"/>
            </c:ext>
          </c:extLst>
        </c:ser>
        <c:ser>
          <c:idx val="11"/>
          <c:order val="11"/>
          <c:tx>
            <c:v>Northern Coldwater F</c:v>
          </c:tx>
          <c:spPr>
            <a:ln w="25400" cap="rnd">
              <a:noFill/>
              <a:round/>
            </a:ln>
            <a:effectLst/>
          </c:spPr>
          <c:marker>
            <c:symbol val="circle"/>
            <c:size val="5"/>
            <c:spPr>
              <a:solidFill>
                <a:schemeClr val="accent6">
                  <a:lumMod val="60000"/>
                </a:schemeClr>
              </a:solidFill>
              <a:ln w="9525">
                <a:solidFill>
                  <a:schemeClr val="accent6">
                    <a:lumMod val="60000"/>
                  </a:schemeClr>
                </a:solidFill>
              </a:ln>
              <a:effectLst/>
            </c:spPr>
          </c:marker>
          <c:trendline>
            <c:spPr>
              <a:ln w="19050" cap="rnd">
                <a:solidFill>
                  <a:schemeClr val="accent6">
                    <a:lumMod val="60000"/>
                  </a:schemeClr>
                </a:solidFill>
                <a:prstDash val="sysDot"/>
              </a:ln>
              <a:effectLst/>
            </c:spPr>
            <c:trendlineType val="linear"/>
            <c:dispRSqr val="0"/>
            <c:dispEq val="1"/>
            <c:trendlineLbl>
              <c:layout>
                <c:manualLayout>
                  <c:x val="-0.18280981447706687"/>
                  <c:y val="4.68125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6">
                          <a:lumMod val="50000"/>
                        </a:schemeClr>
                      </a:solidFill>
                      <a:latin typeface="+mn-lt"/>
                      <a:ea typeface="+mn-ea"/>
                      <a:cs typeface="+mn-cs"/>
                    </a:defRPr>
                  </a:pPr>
                  <a:endParaRPr lang="en-US"/>
                </a:p>
              </c:txPr>
            </c:trendlineLbl>
          </c:trendline>
          <c:xVal>
            <c:numRef>
              <c:f>'Reference Curves'!$AN$150:$AO$150</c:f>
              <c:numCache>
                <c:formatCode>General</c:formatCode>
                <c:ptCount val="2"/>
                <c:pt idx="0">
                  <c:v>45</c:v>
                </c:pt>
                <c:pt idx="1">
                  <c:v>60</c:v>
                </c:pt>
              </c:numCache>
            </c:numRef>
          </c:xVal>
          <c:yVal>
            <c:numRef>
              <c:f>'Reference Curves'!$AN$151:$AO$151</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17-E00D-4D91-A9A1-54296C763F7D}"/>
            </c:ext>
          </c:extLst>
        </c:ser>
        <c:dLbls>
          <c:showLegendKey val="0"/>
          <c:showVal val="0"/>
          <c:showCatName val="0"/>
          <c:showSerName val="0"/>
          <c:showPercent val="0"/>
          <c:showBubbleSize val="0"/>
        </c:dLbls>
        <c:axId val="400843680"/>
        <c:axId val="400839760"/>
      </c:scatterChart>
      <c:valAx>
        <c:axId val="400843680"/>
        <c:scaling>
          <c:orientation val="minMax"/>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Field Value (IBI)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39760"/>
        <c:crossesAt val="0"/>
        <c:crossBetween val="midCat"/>
      </c:valAx>
      <c:valAx>
        <c:axId val="400839760"/>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Index</a:t>
                </a:r>
                <a:r>
                  <a:rPr lang="en-US" baseline="0"/>
                  <a:t> Value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43680"/>
        <c:crossesAt val="0"/>
        <c:crossBetween val="midCat"/>
      </c:valAx>
      <c:spPr>
        <a:noFill/>
        <a:ln>
          <a:noFill/>
        </a:ln>
        <a:effectLst/>
      </c:spPr>
    </c:plotArea>
    <c:legend>
      <c:legendPos val="r"/>
      <c:layout>
        <c:manualLayout>
          <c:xMode val="edge"/>
          <c:yMode val="edge"/>
          <c:x val="0.74730658838908626"/>
          <c:y val="0.14299721128608925"/>
          <c:w val="0.24375486517340544"/>
          <c:h val="0.77969291338582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Fish IBI - Southern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v>Southern Rivers NF</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2.0624086249742053E-2"/>
                  <c:y val="2.9137138944626478E-2"/>
                </c:manualLayout>
              </c:layout>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accent2"/>
                      </a:solidFill>
                      <a:latin typeface="+mn-lt"/>
                      <a:ea typeface="+mn-ea"/>
                      <a:cs typeface="+mn-cs"/>
                    </a:defRPr>
                  </a:pPr>
                  <a:endParaRPr lang="en-US"/>
                </a:p>
              </c:txPr>
            </c:trendlineLbl>
          </c:trendline>
          <c:xVal>
            <c:numRef>
              <c:f>'Reference Curves'!$AJ$194:$AL$194</c:f>
              <c:numCache>
                <c:formatCode>General</c:formatCode>
                <c:ptCount val="3"/>
                <c:pt idx="0">
                  <c:v>38</c:v>
                </c:pt>
                <c:pt idx="2">
                  <c:v>49</c:v>
                </c:pt>
              </c:numCache>
              <c:extLst xmlns:c16r2="http://schemas.microsoft.com/office/drawing/2015/06/chart" xmlns:c15="http://schemas.microsoft.com/office/drawing/2012/chart"/>
            </c:numRef>
          </c:xVal>
          <c:yVal>
            <c:numRef>
              <c:f>'Reference Curves'!$AJ$198:$AL$198</c:f>
              <c:numCache>
                <c:formatCode>General</c:formatCode>
                <c:ptCount val="3"/>
                <c:pt idx="0">
                  <c:v>0</c:v>
                </c:pt>
                <c:pt idx="1">
                  <c:v>0.28999999999999998</c:v>
                </c:pt>
                <c:pt idx="2">
                  <c:v>0.3</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1-4DCC-4CA1-A225-C5344FDF3F81}"/>
            </c:ext>
          </c:extLst>
        </c:ser>
        <c:ser>
          <c:idx val="0"/>
          <c:order val="1"/>
          <c:tx>
            <c:v>Southern River FAR</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2495416448478686E-2"/>
                  <c:y val="9.4925268777224459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1"/>
                      </a:solidFill>
                      <a:latin typeface="+mn-lt"/>
                      <a:ea typeface="+mn-ea"/>
                      <a:cs typeface="+mn-cs"/>
                    </a:defRPr>
                  </a:pPr>
                  <a:endParaRPr lang="en-US"/>
                </a:p>
              </c:txPr>
            </c:trendlineLbl>
          </c:trendline>
          <c:xVal>
            <c:numRef>
              <c:f>'Reference Curves'!$AL$194:$AN$194</c:f>
              <c:numCache>
                <c:formatCode>General</c:formatCode>
                <c:ptCount val="3"/>
                <c:pt idx="0">
                  <c:v>49</c:v>
                </c:pt>
                <c:pt idx="2">
                  <c:v>60</c:v>
                </c:pt>
              </c:numCache>
              <c:extLst xmlns:c16r2="http://schemas.microsoft.com/office/drawing/2015/06/chart" xmlns:c15="http://schemas.microsoft.com/office/drawing/2012/chart"/>
            </c:numRef>
          </c:xVal>
          <c:yVal>
            <c:numRef>
              <c:f>'Reference Curves'!$AL$198:$AN$198</c:f>
              <c:numCache>
                <c:formatCode>General</c:formatCode>
                <c:ptCount val="3"/>
                <c:pt idx="0">
                  <c:v>0.3</c:v>
                </c:pt>
                <c:pt idx="1">
                  <c:v>0.69</c:v>
                </c:pt>
                <c:pt idx="2">
                  <c:v>0.7</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3-4DCC-4CA1-A225-C5344FDF3F81}"/>
            </c:ext>
          </c:extLst>
        </c:ser>
        <c:ser>
          <c:idx val="2"/>
          <c:order val="2"/>
          <c:tx>
            <c:v>Southern River F</c:v>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9.2514774859752125E-2"/>
                  <c:y val="4.0107766992987404E-2"/>
                </c:manualLayout>
              </c:layout>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bg1">
                          <a:lumMod val="50000"/>
                        </a:schemeClr>
                      </a:solidFill>
                      <a:latin typeface="+mn-lt"/>
                      <a:ea typeface="+mn-ea"/>
                      <a:cs typeface="+mn-cs"/>
                    </a:defRPr>
                  </a:pPr>
                  <a:endParaRPr lang="en-US"/>
                </a:p>
              </c:txPr>
            </c:trendlineLbl>
          </c:trendline>
          <c:xVal>
            <c:numRef>
              <c:f>'Reference Curves'!$AN$194:$AO$194</c:f>
              <c:numCache>
                <c:formatCode>General</c:formatCode>
                <c:ptCount val="2"/>
                <c:pt idx="0">
                  <c:v>60</c:v>
                </c:pt>
                <c:pt idx="1">
                  <c:v>71</c:v>
                </c:pt>
              </c:numCache>
              <c:extLst xmlns:c16r2="http://schemas.microsoft.com/office/drawing/2015/06/chart" xmlns:c15="http://schemas.microsoft.com/office/drawing/2012/chart"/>
            </c:numRef>
          </c:xVal>
          <c:yVal>
            <c:numRef>
              <c:f>'Reference Curves'!$AN$198:$AO$198</c:f>
              <c:numCache>
                <c:formatCode>General</c:formatCode>
                <c:ptCount val="2"/>
                <c:pt idx="0">
                  <c:v>0.7</c:v>
                </c:pt>
                <c:pt idx="1">
                  <c:v>1</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5-4DCC-4CA1-A225-C5344FDF3F81}"/>
            </c:ext>
          </c:extLst>
        </c:ser>
        <c:ser>
          <c:idx val="3"/>
          <c:order val="3"/>
          <c:tx>
            <c:v>Southern Streams NF</c:v>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7.548788854034548E-2"/>
                  <c:y val="7.0283358136259869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4"/>
                      </a:solidFill>
                      <a:latin typeface="+mn-lt"/>
                      <a:ea typeface="+mn-ea"/>
                      <a:cs typeface="+mn-cs"/>
                    </a:defRPr>
                  </a:pPr>
                  <a:endParaRPr lang="en-US"/>
                </a:p>
              </c:txPr>
            </c:trendlineLbl>
          </c:trendline>
          <c:xVal>
            <c:numRef>
              <c:f>'Reference Curves'!$AJ$195:$AL$195</c:f>
              <c:numCache>
                <c:formatCode>General</c:formatCode>
                <c:ptCount val="3"/>
                <c:pt idx="0">
                  <c:v>35</c:v>
                </c:pt>
                <c:pt idx="2">
                  <c:v>50</c:v>
                </c:pt>
              </c:numCache>
              <c:extLst xmlns:c16r2="http://schemas.microsoft.com/office/drawing/2015/06/chart" xmlns:c15="http://schemas.microsoft.com/office/drawing/2012/chart"/>
            </c:numRef>
          </c:xVal>
          <c:yVal>
            <c:numRef>
              <c:f>'Reference Curves'!$AJ$198:$AL$198</c:f>
              <c:numCache>
                <c:formatCode>General</c:formatCode>
                <c:ptCount val="3"/>
                <c:pt idx="0">
                  <c:v>0</c:v>
                </c:pt>
                <c:pt idx="1">
                  <c:v>0.28999999999999998</c:v>
                </c:pt>
                <c:pt idx="2">
                  <c:v>0.3</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7-4DCC-4CA1-A225-C5344FDF3F81}"/>
            </c:ext>
          </c:extLst>
        </c:ser>
        <c:ser>
          <c:idx val="4"/>
          <c:order val="4"/>
          <c:tx>
            <c:v>Southern Streams FAR</c:v>
          </c:tx>
          <c:spPr>
            <a:ln w="25400"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linear"/>
            <c:dispRSqr val="0"/>
            <c:dispEq val="1"/>
            <c:trendlineLbl>
              <c:layout>
                <c:manualLayout>
                  <c:x val="-2.4726389649881639E-2"/>
                  <c:y val="5.442763865751319E-2"/>
                </c:manualLayout>
              </c:layout>
              <c:numFmt formatCode="#,##0.0000" sourceLinked="0"/>
              <c:spPr>
                <a:noFill/>
                <a:ln>
                  <a:noFill/>
                </a:ln>
                <a:effectLst/>
              </c:spPr>
              <c:txPr>
                <a:bodyPr rot="0" spcFirstLastPara="1" vertOverflow="ellipsis" vert="horz" wrap="square" anchor="ctr" anchorCtr="1"/>
                <a:lstStyle/>
                <a:p>
                  <a:pPr>
                    <a:defRPr sz="1050" b="0" i="0" u="none" strike="noStrike" kern="1200" baseline="0">
                      <a:solidFill>
                        <a:schemeClr val="accent5"/>
                      </a:solidFill>
                      <a:latin typeface="+mn-lt"/>
                      <a:ea typeface="+mn-ea"/>
                      <a:cs typeface="+mn-cs"/>
                    </a:defRPr>
                  </a:pPr>
                  <a:endParaRPr lang="en-US"/>
                </a:p>
              </c:txPr>
            </c:trendlineLbl>
          </c:trendline>
          <c:xVal>
            <c:numRef>
              <c:f>'Reference Curves'!$AL$195:$AN$195</c:f>
              <c:numCache>
                <c:formatCode>General</c:formatCode>
                <c:ptCount val="3"/>
                <c:pt idx="0">
                  <c:v>50</c:v>
                </c:pt>
                <c:pt idx="2">
                  <c:v>59</c:v>
                </c:pt>
              </c:numCache>
              <c:extLst xmlns:c16r2="http://schemas.microsoft.com/office/drawing/2015/06/chart" xmlns:c15="http://schemas.microsoft.com/office/drawing/2012/chart"/>
            </c:numRef>
          </c:xVal>
          <c:yVal>
            <c:numRef>
              <c:f>'Reference Curves'!$AL$198:$AN$198</c:f>
              <c:numCache>
                <c:formatCode>General</c:formatCode>
                <c:ptCount val="3"/>
                <c:pt idx="0">
                  <c:v>0.3</c:v>
                </c:pt>
                <c:pt idx="1">
                  <c:v>0.69</c:v>
                </c:pt>
                <c:pt idx="2">
                  <c:v>0.7</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9-4DCC-4CA1-A225-C5344FDF3F81}"/>
            </c:ext>
          </c:extLst>
        </c:ser>
        <c:ser>
          <c:idx val="5"/>
          <c:order val="5"/>
          <c:tx>
            <c:v>Southern Streams F</c:v>
          </c:tx>
          <c:spPr>
            <a:ln w="2540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linear"/>
            <c:dispRSqr val="0"/>
            <c:dispEq val="1"/>
            <c:trendlineLbl>
              <c:layout>
                <c:manualLayout>
                  <c:x val="-8.4613580097570133E-3"/>
                  <c:y val="6.0029973331325647E-4"/>
                </c:manualLayout>
              </c:layout>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accent6"/>
                      </a:solidFill>
                      <a:latin typeface="+mn-lt"/>
                      <a:ea typeface="+mn-ea"/>
                      <a:cs typeface="+mn-cs"/>
                    </a:defRPr>
                  </a:pPr>
                  <a:endParaRPr lang="en-US"/>
                </a:p>
              </c:txPr>
            </c:trendlineLbl>
          </c:trendline>
          <c:xVal>
            <c:numRef>
              <c:f>'Reference Curves'!$AN$195:$AO$195</c:f>
              <c:numCache>
                <c:formatCode>General</c:formatCode>
                <c:ptCount val="2"/>
                <c:pt idx="0">
                  <c:v>59</c:v>
                </c:pt>
                <c:pt idx="1">
                  <c:v>66</c:v>
                </c:pt>
              </c:numCache>
              <c:extLst xmlns:c16r2="http://schemas.microsoft.com/office/drawing/2015/06/chart" xmlns:c15="http://schemas.microsoft.com/office/drawing/2012/chart"/>
            </c:numRef>
          </c:xVal>
          <c:yVal>
            <c:numRef>
              <c:f>'Reference Curves'!$AN$198:$AO$198</c:f>
              <c:numCache>
                <c:formatCode>General</c:formatCode>
                <c:ptCount val="2"/>
                <c:pt idx="0">
                  <c:v>0.7</c:v>
                </c:pt>
                <c:pt idx="1">
                  <c:v>1</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B-4DCC-4CA1-A225-C5344FDF3F81}"/>
            </c:ext>
          </c:extLst>
        </c:ser>
        <c:ser>
          <c:idx val="6"/>
          <c:order val="6"/>
          <c:tx>
            <c:v>Southern Headwater NF</c:v>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trendline>
            <c:spPr>
              <a:ln w="19050" cap="rnd">
                <a:solidFill>
                  <a:schemeClr val="accent1">
                    <a:lumMod val="60000"/>
                  </a:schemeClr>
                </a:solidFill>
                <a:prstDash val="sysDot"/>
              </a:ln>
              <a:effectLst/>
            </c:spPr>
            <c:trendlineType val="linear"/>
            <c:dispRSqr val="0"/>
            <c:dispEq val="1"/>
            <c:trendlineLbl>
              <c:layout>
                <c:manualLayout>
                  <c:x val="4.4208335467094143E-2"/>
                  <c:y val="0.1780472655429187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rgbClr val="252291"/>
                      </a:solidFill>
                      <a:latin typeface="+mn-lt"/>
                      <a:ea typeface="+mn-ea"/>
                      <a:cs typeface="+mn-cs"/>
                    </a:defRPr>
                  </a:pPr>
                  <a:endParaRPr lang="en-US"/>
                </a:p>
              </c:txPr>
            </c:trendlineLbl>
          </c:trendline>
          <c:xVal>
            <c:numRef>
              <c:f>'Reference Curves'!$AJ$196:$AL$196</c:f>
              <c:numCache>
                <c:formatCode>General</c:formatCode>
                <c:ptCount val="3"/>
                <c:pt idx="0">
                  <c:v>33</c:v>
                </c:pt>
                <c:pt idx="2">
                  <c:v>55</c:v>
                </c:pt>
              </c:numCache>
            </c:numRef>
          </c:xVal>
          <c:yVal>
            <c:numRef>
              <c:f>'Reference Curves'!$AJ$198:$AL$198</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D-4DCC-4CA1-A225-C5344FDF3F81}"/>
            </c:ext>
          </c:extLst>
        </c:ser>
        <c:ser>
          <c:idx val="7"/>
          <c:order val="7"/>
          <c:tx>
            <c:v>Southern Headwater FAR</c:v>
          </c:tx>
          <c:spPr>
            <a:ln w="25400" cap="rnd">
              <a:noFill/>
              <a:round/>
            </a:ln>
            <a:effectLst/>
          </c:spPr>
          <c:marker>
            <c:symbol val="circle"/>
            <c:size val="5"/>
            <c:spPr>
              <a:solidFill>
                <a:schemeClr val="accent2">
                  <a:lumMod val="60000"/>
                </a:schemeClr>
              </a:solidFill>
              <a:ln w="9525">
                <a:solidFill>
                  <a:schemeClr val="accent2">
                    <a:lumMod val="60000"/>
                  </a:schemeClr>
                </a:solidFill>
              </a:ln>
              <a:effectLst/>
            </c:spPr>
          </c:marker>
          <c:trendline>
            <c:spPr>
              <a:ln w="19050" cap="rnd">
                <a:solidFill>
                  <a:schemeClr val="accent2">
                    <a:lumMod val="60000"/>
                  </a:schemeClr>
                </a:solidFill>
                <a:prstDash val="sysDot"/>
              </a:ln>
              <a:effectLst/>
            </c:spPr>
            <c:trendlineType val="linear"/>
            <c:dispRSqr val="0"/>
            <c:dispEq val="1"/>
            <c:trendlineLbl>
              <c:layout>
                <c:manualLayout>
                  <c:x val="0.12511051325628308"/>
                  <c:y val="0.18701442601564205"/>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2">
                          <a:lumMod val="75000"/>
                        </a:schemeClr>
                      </a:solidFill>
                      <a:latin typeface="+mn-lt"/>
                      <a:ea typeface="+mn-ea"/>
                      <a:cs typeface="+mn-cs"/>
                    </a:defRPr>
                  </a:pPr>
                  <a:endParaRPr lang="en-US"/>
                </a:p>
              </c:txPr>
            </c:trendlineLbl>
          </c:trendline>
          <c:xVal>
            <c:numRef>
              <c:f>'Reference Curves'!$AL$196:$AN$196</c:f>
              <c:numCache>
                <c:formatCode>General</c:formatCode>
                <c:ptCount val="3"/>
                <c:pt idx="0">
                  <c:v>55</c:v>
                </c:pt>
                <c:pt idx="2">
                  <c:v>62</c:v>
                </c:pt>
              </c:numCache>
            </c:numRef>
          </c:xVal>
          <c:yVal>
            <c:numRef>
              <c:f>'Reference Curves'!$AL$198:$AN$198</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F-4DCC-4CA1-A225-C5344FDF3F81}"/>
            </c:ext>
          </c:extLst>
        </c:ser>
        <c:ser>
          <c:idx val="8"/>
          <c:order val="8"/>
          <c:tx>
            <c:v>Southern Headwater F</c:v>
          </c:tx>
          <c:spPr>
            <a:ln w="25400" cap="rnd">
              <a:noFill/>
              <a:round/>
            </a:ln>
            <a:effectLst/>
          </c:spPr>
          <c:marker>
            <c:symbol val="circle"/>
            <c:size val="5"/>
            <c:spPr>
              <a:solidFill>
                <a:schemeClr val="accent3">
                  <a:lumMod val="60000"/>
                </a:schemeClr>
              </a:solidFill>
              <a:ln w="9525">
                <a:solidFill>
                  <a:schemeClr val="accent3">
                    <a:lumMod val="60000"/>
                  </a:schemeClr>
                </a:solidFill>
              </a:ln>
              <a:effectLst/>
            </c:spPr>
          </c:marker>
          <c:trendline>
            <c:spPr>
              <a:ln w="19050" cap="rnd">
                <a:solidFill>
                  <a:schemeClr val="accent3">
                    <a:lumMod val="60000"/>
                  </a:schemeClr>
                </a:solidFill>
                <a:prstDash val="sysDot"/>
              </a:ln>
              <a:effectLst/>
            </c:spPr>
            <c:trendlineType val="linear"/>
            <c:dispRSqr val="0"/>
            <c:dispEq val="1"/>
            <c:trendlineLbl>
              <c:layout>
                <c:manualLayout>
                  <c:x val="0.12636079015913793"/>
                  <c:y val="-4.0225327619249213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bg2">
                          <a:lumMod val="50000"/>
                        </a:schemeClr>
                      </a:solidFill>
                      <a:latin typeface="+mn-lt"/>
                      <a:ea typeface="+mn-ea"/>
                      <a:cs typeface="+mn-cs"/>
                    </a:defRPr>
                  </a:pPr>
                  <a:endParaRPr lang="en-US"/>
                </a:p>
              </c:txPr>
            </c:trendlineLbl>
          </c:trendline>
          <c:xVal>
            <c:numRef>
              <c:f>'Reference Curves'!$AN$196:$AO$196</c:f>
              <c:numCache>
                <c:formatCode>General</c:formatCode>
                <c:ptCount val="2"/>
                <c:pt idx="0">
                  <c:v>62</c:v>
                </c:pt>
                <c:pt idx="1">
                  <c:v>74</c:v>
                </c:pt>
              </c:numCache>
            </c:numRef>
          </c:xVal>
          <c:yVal>
            <c:numRef>
              <c:f>'Reference Curves'!$AN$198:$AO$198</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11-4DCC-4CA1-A225-C5344FDF3F81}"/>
            </c:ext>
          </c:extLst>
        </c:ser>
        <c:ser>
          <c:idx val="9"/>
          <c:order val="9"/>
          <c:tx>
            <c:v>Southern Coldwater NF</c:v>
          </c:tx>
          <c:spPr>
            <a:ln w="25400" cap="rnd">
              <a:noFill/>
              <a:round/>
            </a:ln>
            <a:effectLst/>
          </c:spPr>
          <c:marker>
            <c:symbol val="circle"/>
            <c:size val="5"/>
            <c:spPr>
              <a:solidFill>
                <a:schemeClr val="accent4">
                  <a:lumMod val="60000"/>
                </a:schemeClr>
              </a:solidFill>
              <a:ln w="9525">
                <a:solidFill>
                  <a:schemeClr val="accent4">
                    <a:lumMod val="60000"/>
                  </a:schemeClr>
                </a:solidFill>
              </a:ln>
              <a:effectLst/>
            </c:spPr>
          </c:marker>
          <c:trendline>
            <c:spPr>
              <a:ln w="19050" cap="rnd">
                <a:solidFill>
                  <a:schemeClr val="accent4">
                    <a:lumMod val="60000"/>
                  </a:schemeClr>
                </a:solidFill>
                <a:prstDash val="sysDot"/>
              </a:ln>
              <a:effectLst/>
            </c:spPr>
            <c:trendlineType val="linear"/>
            <c:dispRSqr val="0"/>
            <c:dispEq val="1"/>
            <c:trendlineLbl>
              <c:layout>
                <c:manualLayout>
                  <c:x val="0.10910468251913881"/>
                  <c:y val="0.22311217227661245"/>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4">
                          <a:lumMod val="75000"/>
                        </a:schemeClr>
                      </a:solidFill>
                      <a:latin typeface="+mn-lt"/>
                      <a:ea typeface="+mn-ea"/>
                      <a:cs typeface="+mn-cs"/>
                    </a:defRPr>
                  </a:pPr>
                  <a:endParaRPr lang="en-US"/>
                </a:p>
              </c:txPr>
            </c:trendlineLbl>
          </c:trendline>
          <c:xVal>
            <c:numRef>
              <c:f>'Reference Curves'!$AJ$197:$AL$197</c:f>
              <c:numCache>
                <c:formatCode>General</c:formatCode>
                <c:ptCount val="3"/>
                <c:pt idx="0">
                  <c:v>37</c:v>
                </c:pt>
                <c:pt idx="2">
                  <c:v>50</c:v>
                </c:pt>
              </c:numCache>
              <c:extLst xmlns:c16r2="http://schemas.microsoft.com/office/drawing/2015/06/chart" xmlns:c15="http://schemas.microsoft.com/office/drawing/2012/chart"/>
            </c:numRef>
          </c:xVal>
          <c:yVal>
            <c:numRef>
              <c:f>'Reference Curves'!$AJ$198:$AL$198</c:f>
              <c:numCache>
                <c:formatCode>General</c:formatCode>
                <c:ptCount val="3"/>
                <c:pt idx="0">
                  <c:v>0</c:v>
                </c:pt>
                <c:pt idx="1">
                  <c:v>0.28999999999999998</c:v>
                </c:pt>
                <c:pt idx="2">
                  <c:v>0.3</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13-4DCC-4CA1-A225-C5344FDF3F81}"/>
            </c:ext>
          </c:extLst>
        </c:ser>
        <c:ser>
          <c:idx val="10"/>
          <c:order val="10"/>
          <c:tx>
            <c:v>Southern Coldwater FAR</c:v>
          </c:tx>
          <c:spPr>
            <a:ln w="25400" cap="rnd">
              <a:noFill/>
              <a:round/>
            </a:ln>
            <a:effectLst/>
          </c:spPr>
          <c:marker>
            <c:symbol val="circle"/>
            <c:size val="5"/>
            <c:spPr>
              <a:solidFill>
                <a:schemeClr val="accent5">
                  <a:lumMod val="60000"/>
                </a:schemeClr>
              </a:solidFill>
              <a:ln w="9525">
                <a:solidFill>
                  <a:schemeClr val="accent5">
                    <a:lumMod val="60000"/>
                  </a:schemeClr>
                </a:solidFill>
              </a:ln>
              <a:effectLst/>
            </c:spPr>
          </c:marker>
          <c:trendline>
            <c:spPr>
              <a:ln w="19050" cap="rnd">
                <a:solidFill>
                  <a:schemeClr val="accent5">
                    <a:lumMod val="60000"/>
                  </a:schemeClr>
                </a:solidFill>
                <a:prstDash val="sysDot"/>
              </a:ln>
              <a:effectLst/>
            </c:spPr>
            <c:trendlineType val="linear"/>
            <c:dispRSqr val="0"/>
            <c:dispEq val="1"/>
            <c:trendlineLbl>
              <c:layout>
                <c:manualLayout>
                  <c:x val="0.11113571173686652"/>
                  <c:y val="0.14586820682400867"/>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5">
                          <a:lumMod val="75000"/>
                        </a:schemeClr>
                      </a:solidFill>
                      <a:latin typeface="+mn-lt"/>
                      <a:ea typeface="+mn-ea"/>
                      <a:cs typeface="+mn-cs"/>
                    </a:defRPr>
                  </a:pPr>
                  <a:endParaRPr lang="en-US"/>
                </a:p>
              </c:txPr>
            </c:trendlineLbl>
          </c:trendline>
          <c:xVal>
            <c:numRef>
              <c:f>'Reference Curves'!$AL$197:$AN$197</c:f>
              <c:numCache>
                <c:formatCode>General</c:formatCode>
                <c:ptCount val="3"/>
                <c:pt idx="0">
                  <c:v>50</c:v>
                </c:pt>
                <c:pt idx="2">
                  <c:v>63</c:v>
                </c:pt>
              </c:numCache>
              <c:extLst xmlns:c16r2="http://schemas.microsoft.com/office/drawing/2015/06/chart" xmlns:c15="http://schemas.microsoft.com/office/drawing/2012/chart"/>
            </c:numRef>
          </c:xVal>
          <c:yVal>
            <c:numRef>
              <c:f>'Reference Curves'!$AL$198:$AN$198</c:f>
              <c:numCache>
                <c:formatCode>General</c:formatCode>
                <c:ptCount val="3"/>
                <c:pt idx="0">
                  <c:v>0.3</c:v>
                </c:pt>
                <c:pt idx="1">
                  <c:v>0.69</c:v>
                </c:pt>
                <c:pt idx="2">
                  <c:v>0.7</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15-4DCC-4CA1-A225-C5344FDF3F81}"/>
            </c:ext>
          </c:extLst>
        </c:ser>
        <c:ser>
          <c:idx val="11"/>
          <c:order val="11"/>
          <c:tx>
            <c:v>Southern Coldwater F</c:v>
          </c:tx>
          <c:spPr>
            <a:ln w="25400" cap="rnd">
              <a:noFill/>
              <a:round/>
            </a:ln>
            <a:effectLst/>
          </c:spPr>
          <c:marker>
            <c:symbol val="circle"/>
            <c:size val="5"/>
            <c:spPr>
              <a:solidFill>
                <a:schemeClr val="accent6">
                  <a:lumMod val="60000"/>
                </a:schemeClr>
              </a:solidFill>
              <a:ln w="9525">
                <a:solidFill>
                  <a:schemeClr val="accent6">
                    <a:lumMod val="60000"/>
                  </a:schemeClr>
                </a:solidFill>
              </a:ln>
              <a:effectLst/>
            </c:spPr>
          </c:marker>
          <c:trendline>
            <c:spPr>
              <a:ln w="19050" cap="rnd">
                <a:solidFill>
                  <a:schemeClr val="accent6">
                    <a:lumMod val="60000"/>
                  </a:schemeClr>
                </a:solidFill>
                <a:prstDash val="sysDot"/>
              </a:ln>
              <a:effectLst/>
            </c:spPr>
            <c:trendlineType val="linear"/>
            <c:dispRSqr val="0"/>
            <c:dispEq val="1"/>
            <c:trendlineLbl>
              <c:layout>
                <c:manualLayout>
                  <c:x val="2.2876813692070126E-2"/>
                  <c:y val="0.13610219250610911"/>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6">
                          <a:lumMod val="50000"/>
                        </a:schemeClr>
                      </a:solidFill>
                      <a:latin typeface="+mn-lt"/>
                      <a:ea typeface="+mn-ea"/>
                      <a:cs typeface="+mn-cs"/>
                    </a:defRPr>
                  </a:pPr>
                  <a:endParaRPr lang="en-US"/>
                </a:p>
              </c:txPr>
            </c:trendlineLbl>
          </c:trendline>
          <c:xVal>
            <c:numRef>
              <c:f>'Reference Curves'!$AN$197:$AO$197</c:f>
              <c:numCache>
                <c:formatCode>General</c:formatCode>
                <c:ptCount val="2"/>
                <c:pt idx="0">
                  <c:v>63</c:v>
                </c:pt>
                <c:pt idx="1">
                  <c:v>82</c:v>
                </c:pt>
              </c:numCache>
              <c:extLst xmlns:c16r2="http://schemas.microsoft.com/office/drawing/2015/06/chart" xmlns:c15="http://schemas.microsoft.com/office/drawing/2012/chart"/>
            </c:numRef>
          </c:xVal>
          <c:yVal>
            <c:numRef>
              <c:f>'Reference Curves'!$AN$198:$AO$198</c:f>
              <c:numCache>
                <c:formatCode>General</c:formatCode>
                <c:ptCount val="2"/>
                <c:pt idx="0">
                  <c:v>0.7</c:v>
                </c:pt>
                <c:pt idx="1">
                  <c:v>1</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17-4DCC-4CA1-A225-C5344FDF3F81}"/>
            </c:ext>
          </c:extLst>
        </c:ser>
        <c:dLbls>
          <c:showLegendKey val="0"/>
          <c:showVal val="0"/>
          <c:showCatName val="0"/>
          <c:showSerName val="0"/>
          <c:showPercent val="0"/>
          <c:showBubbleSize val="0"/>
        </c:dLbls>
        <c:axId val="400836624"/>
        <c:axId val="400837016"/>
        <c:extLst xmlns:c16r2="http://schemas.microsoft.com/office/drawing/2015/06/chart"/>
      </c:scatterChart>
      <c:valAx>
        <c:axId val="400836624"/>
        <c:scaling>
          <c:orientation val="minMax"/>
          <c:max val="90"/>
          <c:min val="3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Field Value (IBI)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37016"/>
        <c:crossesAt val="0"/>
        <c:crossBetween val="midCat"/>
      </c:valAx>
      <c:valAx>
        <c:axId val="4008370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Index</a:t>
                </a:r>
                <a:r>
                  <a:rPr lang="en-US" baseline="0"/>
                  <a:t> Value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36624"/>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Fish IBI - </a:t>
            </a:r>
            <a:r>
              <a:rPr lang="en-US" sz="1600" b="0" i="0" u="none" strike="noStrike" baseline="0">
                <a:effectLst/>
              </a:rPr>
              <a:t>Low Gradient </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Low Gradient NF</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5865910542276514E-2"/>
                  <c:y val="7.5449639107611544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5"/>
                      </a:solidFill>
                      <a:latin typeface="+mn-lt"/>
                      <a:ea typeface="+mn-ea"/>
                      <a:cs typeface="+mn-cs"/>
                    </a:defRPr>
                  </a:pPr>
                  <a:endParaRPr lang="en-US"/>
                </a:p>
              </c:txPr>
            </c:trendlineLbl>
          </c:trendline>
          <c:xVal>
            <c:numRef>
              <c:f>'Reference Curves'!$AJ$242:$AL$242</c:f>
              <c:numCache>
                <c:formatCode>General</c:formatCode>
                <c:ptCount val="3"/>
                <c:pt idx="0">
                  <c:v>15</c:v>
                </c:pt>
                <c:pt idx="2">
                  <c:v>42</c:v>
                </c:pt>
              </c:numCache>
            </c:numRef>
          </c:xVal>
          <c:yVal>
            <c:numRef>
              <c:f>'Reference Curves'!$AJ$243:$AL$243</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1-F9A0-4593-AF72-D6BBA1E09BA5}"/>
            </c:ext>
          </c:extLst>
        </c:ser>
        <c:ser>
          <c:idx val="1"/>
          <c:order val="1"/>
          <c:tx>
            <c:v>Low Gradient FAR</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3.6135071055578991E-2"/>
                  <c:y val="0.1117552493438320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accent2"/>
                      </a:solidFill>
                      <a:latin typeface="+mn-lt"/>
                      <a:ea typeface="+mn-ea"/>
                      <a:cs typeface="+mn-cs"/>
                    </a:defRPr>
                  </a:pPr>
                  <a:endParaRPr lang="en-US"/>
                </a:p>
              </c:txPr>
            </c:trendlineLbl>
          </c:trendline>
          <c:xVal>
            <c:numRef>
              <c:f>'Reference Curves'!$AL$242:$AN$242</c:f>
              <c:numCache>
                <c:formatCode>General</c:formatCode>
                <c:ptCount val="3"/>
                <c:pt idx="0">
                  <c:v>42</c:v>
                </c:pt>
                <c:pt idx="2">
                  <c:v>52</c:v>
                </c:pt>
              </c:numCache>
            </c:numRef>
          </c:xVal>
          <c:yVal>
            <c:numRef>
              <c:f>'Reference Curves'!$AL$243:$AN$243</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3-F9A0-4593-AF72-D6BBA1E09BA5}"/>
            </c:ext>
          </c:extLst>
        </c:ser>
        <c:ser>
          <c:idx val="2"/>
          <c:order val="2"/>
          <c:tx>
            <c:v>Low Gradient F</c:v>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6.1994684732071176E-2"/>
                  <c:y val="6.1395833333333351E-2"/>
                </c:manualLayout>
              </c:layout>
              <c:numFmt formatCode="#,##0.00000" sourceLinked="0"/>
              <c:spPr>
                <a:noFill/>
                <a:ln>
                  <a:noFill/>
                </a:ln>
                <a:effectLst/>
              </c:spPr>
              <c:txPr>
                <a:bodyPr rot="0" spcFirstLastPara="1" vertOverflow="ellipsis" vert="horz" wrap="square" anchor="ctr" anchorCtr="1"/>
                <a:lstStyle/>
                <a:p>
                  <a:pPr>
                    <a:defRPr sz="1050" b="0" i="0" u="none" strike="noStrike" kern="1200" baseline="0">
                      <a:solidFill>
                        <a:schemeClr val="bg1">
                          <a:lumMod val="50000"/>
                        </a:schemeClr>
                      </a:solidFill>
                      <a:latin typeface="+mn-lt"/>
                      <a:ea typeface="+mn-ea"/>
                      <a:cs typeface="+mn-cs"/>
                    </a:defRPr>
                  </a:pPr>
                  <a:endParaRPr lang="en-US"/>
                </a:p>
              </c:txPr>
            </c:trendlineLbl>
          </c:trendline>
          <c:xVal>
            <c:numRef>
              <c:f>'Reference Curves'!$AN$242:$AO$242</c:f>
              <c:numCache>
                <c:formatCode>General</c:formatCode>
                <c:ptCount val="2"/>
                <c:pt idx="0">
                  <c:v>52</c:v>
                </c:pt>
                <c:pt idx="1">
                  <c:v>70</c:v>
                </c:pt>
              </c:numCache>
            </c:numRef>
          </c:xVal>
          <c:yVal>
            <c:numRef>
              <c:f>'Reference Curves'!$AN$243:$AO$243</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5-F9A0-4593-AF72-D6BBA1E09BA5}"/>
            </c:ext>
          </c:extLst>
        </c:ser>
        <c:dLbls>
          <c:showLegendKey val="0"/>
          <c:showVal val="0"/>
          <c:showCatName val="0"/>
          <c:showSerName val="0"/>
          <c:showPercent val="0"/>
          <c:showBubbleSize val="0"/>
        </c:dLbls>
        <c:axId val="400840544"/>
        <c:axId val="400840936"/>
      </c:scatterChart>
      <c:valAx>
        <c:axId val="4008405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Field Value (IBI)</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40936"/>
        <c:crossesAt val="0"/>
        <c:crossBetween val="midCat"/>
      </c:valAx>
      <c:valAx>
        <c:axId val="40084093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Index</a:t>
                </a:r>
                <a:r>
                  <a:rPr lang="en-US" baseline="0"/>
                  <a:t> Value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40544"/>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BMP MIDS</a:t>
            </a:r>
            <a:r>
              <a:rPr lang="en-US" baseline="0"/>
              <a:t> Rv Coefficient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'Reference Curves'!$C$43</c:f>
              <c:strCache>
                <c:ptCount val="1"/>
                <c:pt idx="0">
                  <c:v>NF</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1326580246368072"/>
                  <c:y val="-0.1902949127160832"/>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Curves'!$C$40:$E$40</c:f>
              <c:numCache>
                <c:formatCode>General</c:formatCode>
                <c:ptCount val="3"/>
                <c:pt idx="0">
                  <c:v>0.95</c:v>
                </c:pt>
                <c:pt idx="2">
                  <c:v>0.25</c:v>
                </c:pt>
              </c:numCache>
            </c:numRef>
          </c:xVal>
          <c:yVal>
            <c:numRef>
              <c:f>'Reference Curves'!$C$41:$E$41</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1-961B-4971-BDFF-B02EE44E69BF}"/>
            </c:ext>
          </c:extLst>
        </c:ser>
        <c:ser>
          <c:idx val="1"/>
          <c:order val="1"/>
          <c:tx>
            <c:strRef>
              <c:f>'Reference Curves'!$D$43</c:f>
              <c:strCache>
                <c:ptCount val="1"/>
                <c:pt idx="0">
                  <c:v>FAR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226112153298135"/>
                  <c:y val="-0.18314231520806662"/>
                </c:manualLayout>
              </c:layout>
              <c:numFmt formatCode="#,##0.000000" sourceLinked="0"/>
              <c:spPr>
                <a:noFill/>
                <a:ln>
                  <a:noFill/>
                </a:ln>
                <a:effectLst/>
              </c:spPr>
              <c:txPr>
                <a:bodyPr rot="0" spcFirstLastPara="1" vertOverflow="ellipsis" vert="horz" wrap="square" anchor="ctr" anchorCtr="1"/>
                <a:lstStyle/>
                <a:p>
                  <a:pPr>
                    <a:defRPr sz="1050" b="0" i="0" u="none" strike="noStrike" kern="1200" baseline="0">
                      <a:solidFill>
                        <a:schemeClr val="accent2"/>
                      </a:solidFill>
                      <a:latin typeface="+mn-lt"/>
                      <a:ea typeface="+mn-ea"/>
                      <a:cs typeface="+mn-cs"/>
                    </a:defRPr>
                  </a:pPr>
                  <a:endParaRPr lang="en-US"/>
                </a:p>
              </c:txPr>
            </c:trendlineLbl>
          </c:trendline>
          <c:xVal>
            <c:numRef>
              <c:f>'Reference Curves'!$E$40:$G$40</c:f>
              <c:numCache>
                <c:formatCode>General</c:formatCode>
                <c:ptCount val="3"/>
                <c:pt idx="0">
                  <c:v>0.25</c:v>
                </c:pt>
                <c:pt idx="2">
                  <c:v>0.05</c:v>
                </c:pt>
              </c:numCache>
            </c:numRef>
          </c:xVal>
          <c:yVal>
            <c:numRef>
              <c:f>'Reference Curves'!$E$41:$G$41</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3-961B-4971-BDFF-B02EE44E69BF}"/>
            </c:ext>
          </c:extLst>
        </c:ser>
        <c:ser>
          <c:idx val="2"/>
          <c:order val="2"/>
          <c:tx>
            <c:strRef>
              <c:f>'Reference Curves'!$E$43</c:f>
              <c:strCache>
                <c:ptCount val="1"/>
                <c:pt idx="0">
                  <c:v>F</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16589079906929477"/>
                  <c:y val="-0.12957574151023085"/>
                </c:manualLayout>
              </c:layout>
              <c:numFmt formatCode="#,##0.000000" sourceLinked="0"/>
              <c:spPr>
                <a:noFill/>
                <a:ln>
                  <a:noFill/>
                </a:ln>
                <a:effectLst/>
              </c:spPr>
              <c:txPr>
                <a:bodyPr rot="0" spcFirstLastPara="1" vertOverflow="ellipsis" vert="horz" wrap="square" anchor="ctr" anchorCtr="1"/>
                <a:lstStyle/>
                <a:p>
                  <a:pPr>
                    <a:defRPr sz="1050" b="0" i="0" u="none" strike="noStrike" kern="1200" baseline="0">
                      <a:solidFill>
                        <a:schemeClr val="bg1">
                          <a:lumMod val="50000"/>
                        </a:schemeClr>
                      </a:solidFill>
                      <a:latin typeface="+mn-lt"/>
                      <a:ea typeface="+mn-ea"/>
                      <a:cs typeface="+mn-cs"/>
                    </a:defRPr>
                  </a:pPr>
                  <a:endParaRPr lang="en-US"/>
                </a:p>
              </c:txPr>
            </c:trendlineLbl>
          </c:trendline>
          <c:xVal>
            <c:numRef>
              <c:f>'Reference Curves'!$G$40:$H$40</c:f>
              <c:numCache>
                <c:formatCode>General</c:formatCode>
                <c:ptCount val="2"/>
                <c:pt idx="0">
                  <c:v>0.05</c:v>
                </c:pt>
                <c:pt idx="1">
                  <c:v>0.02</c:v>
                </c:pt>
              </c:numCache>
            </c:numRef>
          </c:xVal>
          <c:yVal>
            <c:numRef>
              <c:f>'Reference Curves'!$G$41:$H$41</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4-961B-4971-BDFF-B02EE44E69BF}"/>
            </c:ext>
          </c:extLst>
        </c:ser>
        <c:dLbls>
          <c:showLegendKey val="0"/>
          <c:showVal val="0"/>
          <c:showCatName val="0"/>
          <c:showSerName val="0"/>
          <c:showPercent val="0"/>
          <c:showBubbleSize val="0"/>
        </c:dLbls>
        <c:axId val="400843288"/>
        <c:axId val="400410904"/>
      </c:scatterChart>
      <c:valAx>
        <c:axId val="4008432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Field Value (BMP MIDS Rv Coefficient</a:t>
                </a:r>
                <a:r>
                  <a:rPr lang="en-US" baseline="0"/>
                  <a:t>)</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410904"/>
        <c:crosses val="autoZero"/>
        <c:crossBetween val="midCat"/>
      </c:valAx>
      <c:valAx>
        <c:axId val="40041090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0" i="0" baseline="0">
                    <a:effectLst/>
                  </a:rPr>
                  <a:t>Index Value</a:t>
                </a:r>
                <a:endParaRPr lang="en-US" sz="1100">
                  <a:effectLst/>
                </a:endParaRP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8432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DO</a:t>
            </a:r>
          </a:p>
        </c:rich>
      </c:tx>
      <c:layout>
        <c:manualLayout>
          <c:xMode val="edge"/>
          <c:yMode val="edge"/>
          <c:x val="0.37585070768655593"/>
          <c:y val="1.849531988011794E-2"/>
        </c:manualLayout>
      </c:layout>
      <c:overlay val="0"/>
      <c:spPr>
        <a:solidFill>
          <a:sysClr val="window" lastClr="FFFFFF"/>
        </a:solid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197240542752902E-2"/>
          <c:y val="9.3141937954091245E-2"/>
          <c:w val="0.66480438622311233"/>
          <c:h val="0.7791487548364594"/>
        </c:manualLayout>
      </c:layout>
      <c:scatterChart>
        <c:scatterStyle val="lineMarker"/>
        <c:varyColors val="0"/>
        <c:ser>
          <c:idx val="0"/>
          <c:order val="0"/>
          <c:tx>
            <c:strRef>
              <c:f>'Reference Curves'!$Z$43</c:f>
              <c:strCache>
                <c:ptCount val="1"/>
                <c:pt idx="0">
                  <c:v>2A</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2.6695960370592992E-2"/>
                  <c:y val="0.61628637580176582"/>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'Reference Curves'!$AA$43:$AF$43</c:f>
              <c:numCache>
                <c:formatCode>0.0</c:formatCode>
                <c:ptCount val="6"/>
                <c:pt idx="0">
                  <c:v>5.25</c:v>
                </c:pt>
                <c:pt idx="2">
                  <c:v>6.3</c:v>
                </c:pt>
                <c:pt idx="4">
                  <c:v>7.7</c:v>
                </c:pt>
                <c:pt idx="5">
                  <c:v>8.75</c:v>
                </c:pt>
              </c:numCache>
            </c:numRef>
          </c:xVal>
          <c:yVal>
            <c:numRef>
              <c:f>'Reference Curves'!$AA$46:$AF$46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6-7D1E-4012-AABF-B820E6C7D159}"/>
            </c:ext>
          </c:extLst>
        </c:ser>
        <c:ser>
          <c:idx val="1"/>
          <c:order val="1"/>
          <c:tx>
            <c:strRef>
              <c:f>'Reference Curves'!$Z$44</c:f>
              <c:strCache>
                <c:ptCount val="1"/>
                <c:pt idx="0">
                  <c:v>2B/2Bd/2C</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1374549405261292"/>
                  <c:y val="0.39465983123180648"/>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Curves'!$AA$44:$AF$44</c:f>
              <c:numCache>
                <c:formatCode>0.0</c:formatCode>
                <c:ptCount val="6"/>
                <c:pt idx="0">
                  <c:v>3.75</c:v>
                </c:pt>
                <c:pt idx="2">
                  <c:v>4.5</c:v>
                </c:pt>
                <c:pt idx="4">
                  <c:v>5.5</c:v>
                </c:pt>
                <c:pt idx="5">
                  <c:v>6.25</c:v>
                </c:pt>
              </c:numCache>
            </c:numRef>
          </c:xVal>
          <c:yVal>
            <c:numRef>
              <c:f>'Reference Curves'!$AA$46:$AF$46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7-7D1E-4012-AABF-B820E6C7D159}"/>
            </c:ext>
          </c:extLst>
        </c:ser>
        <c:ser>
          <c:idx val="2"/>
          <c:order val="2"/>
          <c:tx>
            <c:strRef>
              <c:f>'Reference Curves'!$Z$45</c:f>
              <c:strCache>
                <c:ptCount val="1"/>
                <c:pt idx="0">
                  <c:v>7</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19977679918275132"/>
                  <c:y val="0.18720391230340749"/>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trendlineLbl>
          </c:trendline>
          <c:xVal>
            <c:numRef>
              <c:f>'Reference Curves'!$AA$45:$AF$45</c:f>
              <c:numCache>
                <c:formatCode>0.0</c:formatCode>
                <c:ptCount val="6"/>
                <c:pt idx="0">
                  <c:v>0.75</c:v>
                </c:pt>
                <c:pt idx="2">
                  <c:v>0.9</c:v>
                </c:pt>
                <c:pt idx="4">
                  <c:v>1.1000000000000001</c:v>
                </c:pt>
                <c:pt idx="5">
                  <c:v>1.25</c:v>
                </c:pt>
              </c:numCache>
            </c:numRef>
          </c:xVal>
          <c:yVal>
            <c:numRef>
              <c:f>'Reference Curves'!$AA$46:$AF$46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8-7D1E-4012-AABF-B820E6C7D159}"/>
            </c:ext>
          </c:extLst>
        </c:ser>
        <c:dLbls>
          <c:showLegendKey val="0"/>
          <c:showVal val="0"/>
          <c:showCatName val="0"/>
          <c:showSerName val="0"/>
          <c:showPercent val="0"/>
          <c:showBubbleSize val="0"/>
        </c:dLbls>
        <c:axId val="462249328"/>
        <c:axId val="462247368"/>
      </c:scatterChart>
      <c:valAx>
        <c:axId val="462249328"/>
        <c:scaling>
          <c:orientation val="minMax"/>
          <c:max val="9"/>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(mg/L)</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62247368"/>
        <c:crosses val="autoZero"/>
        <c:crossBetween val="midCat"/>
        <c:majorUnit val="1"/>
        <c:minorUnit val="1"/>
      </c:valAx>
      <c:valAx>
        <c:axId val="462247368"/>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a:t>
                </a:r>
                <a:r>
                  <a:rPr lang="en-US" sz="1100" baseline="0"/>
                  <a:t> Value</a:t>
                </a:r>
                <a:endParaRPr lang="en-US"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62249328"/>
        <c:crosses val="autoZero"/>
        <c:crossBetween val="midCat"/>
      </c:valAx>
      <c:spPr>
        <a:noFill/>
        <a:ln>
          <a:noFill/>
        </a:ln>
        <a:effectLst/>
      </c:spPr>
    </c:plotArea>
    <c:legend>
      <c:legendPos val="r"/>
      <c:layout>
        <c:manualLayout>
          <c:xMode val="edge"/>
          <c:yMode val="edge"/>
          <c:x val="0.76132413596256265"/>
          <c:y val="0.39245834380951139"/>
          <c:w val="0.23867586403743729"/>
          <c:h val="0.283852146047377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TSS</a:t>
            </a:r>
          </a:p>
        </c:rich>
      </c:tx>
      <c:layout>
        <c:manualLayout>
          <c:xMode val="edge"/>
          <c:yMode val="edge"/>
          <c:x val="0.35442432107457211"/>
          <c:y val="1.849531988011794E-2"/>
        </c:manualLayout>
      </c:layout>
      <c:overlay val="0"/>
      <c:spPr>
        <a:solidFill>
          <a:sysClr val="window" lastClr="FFFFFF"/>
        </a:solid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197240542752902E-2"/>
          <c:y val="9.3141937954091245E-2"/>
          <c:w val="0.67980289748857448"/>
          <c:h val="0.7791487548364594"/>
        </c:manualLayout>
      </c:layout>
      <c:scatterChart>
        <c:scatterStyle val="lineMarker"/>
        <c:varyColors val="0"/>
        <c:ser>
          <c:idx val="0"/>
          <c:order val="0"/>
          <c:tx>
            <c:strRef>
              <c:f>'Reference Curves'!$Z$78</c:f>
              <c:strCache>
                <c:ptCount val="1"/>
                <c:pt idx="0">
                  <c:v>2A / -</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9728857249666007"/>
                  <c:y val="-9.0855678647463439E-2"/>
                </c:manualLayout>
              </c:layout>
              <c:numFmt formatCode="#,##0.00000000"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Curves'!$AA$78:$AF$78</c:f>
              <c:numCache>
                <c:formatCode>0.0</c:formatCode>
                <c:ptCount val="6"/>
                <c:pt idx="0">
                  <c:v>12.5</c:v>
                </c:pt>
                <c:pt idx="2">
                  <c:v>11</c:v>
                </c:pt>
                <c:pt idx="4">
                  <c:v>9</c:v>
                </c:pt>
                <c:pt idx="5">
                  <c:v>7.5</c:v>
                </c:pt>
              </c:numCache>
            </c:numRef>
          </c:xVal>
          <c:yVal>
            <c:numRef>
              <c:f>'Reference Curves'!$AA$82:$AF$82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6-22C3-44B8-A7B1-4CC714B676D8}"/>
            </c:ext>
          </c:extLst>
        </c:ser>
        <c:ser>
          <c:idx val="1"/>
          <c:order val="1"/>
          <c:tx>
            <c:strRef>
              <c:f>'Reference Curves'!$Z$79</c:f>
              <c:strCache>
                <c:ptCount val="1"/>
                <c:pt idx="0">
                  <c:v>2B/2Bd/2C - North</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24395898749586997"/>
                  <c:y val="-1.7089892836319037E-2"/>
                </c:manualLayout>
              </c:layout>
              <c:numFmt formatCode="#,##0.000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Curves'!$AA$79:$AF$79</c:f>
              <c:numCache>
                <c:formatCode>0.0</c:formatCode>
                <c:ptCount val="6"/>
                <c:pt idx="0">
                  <c:v>18.8</c:v>
                </c:pt>
                <c:pt idx="2">
                  <c:v>16.5</c:v>
                </c:pt>
                <c:pt idx="4">
                  <c:v>13.5</c:v>
                </c:pt>
                <c:pt idx="5">
                  <c:v>11.3</c:v>
                </c:pt>
              </c:numCache>
            </c:numRef>
          </c:xVal>
          <c:yVal>
            <c:numRef>
              <c:f>'Reference Curves'!$AA$82:$AF$82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8-22C3-44B8-A7B1-4CC714B676D8}"/>
            </c:ext>
          </c:extLst>
        </c:ser>
        <c:ser>
          <c:idx val="2"/>
          <c:order val="2"/>
          <c:tx>
            <c:strRef>
              <c:f>'Reference Curves'!$Z$80</c:f>
              <c:strCache>
                <c:ptCount val="1"/>
                <c:pt idx="0">
                  <c:v>2B/2Bd/2C - Central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28304571061469647"/>
                  <c:y val="-0.32917590972962224"/>
                </c:manualLayout>
              </c:layout>
              <c:numFmt formatCode="#,##0.00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'Reference Curves'!$AA$80:$AF$80</c:f>
              <c:numCache>
                <c:formatCode>0.0</c:formatCode>
                <c:ptCount val="6"/>
                <c:pt idx="0">
                  <c:v>37.5</c:v>
                </c:pt>
                <c:pt idx="2">
                  <c:v>33</c:v>
                </c:pt>
                <c:pt idx="4">
                  <c:v>27</c:v>
                </c:pt>
                <c:pt idx="5">
                  <c:v>22.5</c:v>
                </c:pt>
              </c:numCache>
            </c:numRef>
          </c:xVal>
          <c:yVal>
            <c:numRef>
              <c:f>'Reference Curves'!$AA$82:$AF$82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A-22C3-44B8-A7B1-4CC714B676D8}"/>
            </c:ext>
          </c:extLst>
        </c:ser>
        <c:ser>
          <c:idx val="3"/>
          <c:order val="3"/>
          <c:tx>
            <c:strRef>
              <c:f>'Reference Curves'!$Z$81</c:f>
              <c:strCache>
                <c:ptCount val="1"/>
                <c:pt idx="0">
                  <c:v>2B/2Bd/2C - South</c:v>
                </c:pt>
              </c:strCache>
            </c:strRef>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0.1078245272574266"/>
                  <c:y val="-0.71502771243406993"/>
                </c:manualLayout>
              </c:layout>
              <c:numFmt formatCode="#,##0.00000000" sourceLinked="0"/>
              <c:spPr>
                <a:noFill/>
                <a:ln>
                  <a:noFill/>
                </a:ln>
                <a:effectLst/>
              </c:spPr>
              <c:txPr>
                <a:bodyPr rot="0" spcFirstLastPara="1" vertOverflow="ellipsis" vert="horz" wrap="square" anchor="ctr" anchorCtr="1"/>
                <a:lstStyle/>
                <a:p>
                  <a:pPr>
                    <a:defRPr sz="1100" b="0" i="0" u="none" strike="noStrike" kern="1200" baseline="0">
                      <a:solidFill>
                        <a:schemeClr val="accent4"/>
                      </a:solidFill>
                      <a:latin typeface="+mn-lt"/>
                      <a:ea typeface="+mn-ea"/>
                      <a:cs typeface="+mn-cs"/>
                    </a:defRPr>
                  </a:pPr>
                  <a:endParaRPr lang="en-US"/>
                </a:p>
              </c:txPr>
            </c:trendlineLbl>
          </c:trendline>
          <c:xVal>
            <c:numRef>
              <c:f>'Reference Curves'!$AA$81:$AF$81</c:f>
              <c:numCache>
                <c:formatCode>0.0</c:formatCode>
                <c:ptCount val="6"/>
                <c:pt idx="0">
                  <c:v>81.2</c:v>
                </c:pt>
                <c:pt idx="2">
                  <c:v>71.5</c:v>
                </c:pt>
                <c:pt idx="4">
                  <c:v>58.5</c:v>
                </c:pt>
                <c:pt idx="5">
                  <c:v>48.7</c:v>
                </c:pt>
              </c:numCache>
            </c:numRef>
          </c:xVal>
          <c:yVal>
            <c:numRef>
              <c:f>'Reference Curves'!$AA$82:$AF$82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C-22C3-44B8-A7B1-4CC714B676D8}"/>
            </c:ext>
          </c:extLst>
        </c:ser>
        <c:dLbls>
          <c:showLegendKey val="0"/>
          <c:showVal val="0"/>
          <c:showCatName val="0"/>
          <c:showSerName val="0"/>
          <c:showPercent val="0"/>
          <c:showBubbleSize val="0"/>
        </c:dLbls>
        <c:axId val="462245016"/>
        <c:axId val="462246584"/>
      </c:scatterChart>
      <c:valAx>
        <c:axId val="462245016"/>
        <c:scaling>
          <c:orientation val="minMax"/>
          <c:max val="90"/>
          <c:min val="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(mg/L)</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62246584"/>
        <c:crosses val="autoZero"/>
        <c:crossBetween val="midCat"/>
        <c:minorUnit val="5"/>
      </c:valAx>
      <c:valAx>
        <c:axId val="46224658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a:t>
                </a:r>
                <a:r>
                  <a:rPr lang="en-US" sz="1100" baseline="0"/>
                  <a:t> Value</a:t>
                </a:r>
                <a:endParaRPr lang="en-US"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62245016"/>
        <c:crosses val="autoZero"/>
        <c:crossBetween val="midCat"/>
      </c:valAx>
      <c:spPr>
        <a:noFill/>
        <a:ln>
          <a:noFill/>
        </a:ln>
        <a:effectLst/>
      </c:spPr>
    </c:plotArea>
    <c:legend>
      <c:legendPos val="r"/>
      <c:layout>
        <c:manualLayout>
          <c:xMode val="edge"/>
          <c:yMode val="edge"/>
          <c:x val="0.79560627479323953"/>
          <c:y val="0.13841187258596022"/>
          <c:w val="0.16368359064399113"/>
          <c:h val="0.7146826156601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Functional Category - Condition</a:t>
            </a:r>
            <a:r>
              <a:rPr lang="en-US" sz="2000" baseline="0"/>
              <a:t> Score Tracking</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5"/>
          <c:order val="0"/>
          <c:tx>
            <c:strRef>
              <c:f>'Data Summary'!$A$22</c:f>
              <c:strCache>
                <c:ptCount val="1"/>
                <c:pt idx="0">
                  <c:v>Hydrology </c:v>
                </c:pt>
              </c:strCache>
            </c:strRef>
          </c:tx>
          <c:spPr>
            <a:ln w="19050" cap="rnd">
              <a:solidFill>
                <a:srgbClr val="00B0F0"/>
              </a:solidFill>
              <a:prstDash val="dash"/>
              <a:round/>
            </a:ln>
            <a:effectLst/>
          </c:spPr>
          <c:marker>
            <c:symbol val="none"/>
          </c:marker>
          <c:xVal>
            <c:numRef>
              <c:f>'Data Summary'!$F$21:$O$21</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Summary'!$F$22:$O$22</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1-53E5-43F6-935D-28E090B64FB7}"/>
            </c:ext>
          </c:extLst>
        </c:ser>
        <c:ser>
          <c:idx val="2"/>
          <c:order val="1"/>
          <c:tx>
            <c:strRef>
              <c:f>'Data Summary'!$A$23:$B$23</c:f>
              <c:strCache>
                <c:ptCount val="2"/>
                <c:pt idx="0">
                  <c:v>Hydraulics</c:v>
                </c:pt>
              </c:strCache>
            </c:strRef>
          </c:tx>
          <c:spPr>
            <a:ln w="19050" cap="rnd">
              <a:solidFill>
                <a:srgbClr val="0070C0"/>
              </a:solidFill>
              <a:prstDash val="dash"/>
              <a:round/>
            </a:ln>
            <a:effectLst/>
          </c:spPr>
          <c:marker>
            <c:symbol val="none"/>
          </c:marker>
          <c:xVal>
            <c:numRef>
              <c:f>'Data Summary'!$F$21:$O$21</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Summary'!$F$23:$O$23</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1-521A-42CD-8F8D-F9904FF743B7}"/>
            </c:ext>
          </c:extLst>
        </c:ser>
        <c:ser>
          <c:idx val="4"/>
          <c:order val="2"/>
          <c:tx>
            <c:strRef>
              <c:f>'Data Summary'!$A$24:$B$24</c:f>
              <c:strCache>
                <c:ptCount val="2"/>
                <c:pt idx="0">
                  <c:v>Geomorphology</c:v>
                </c:pt>
              </c:strCache>
            </c:strRef>
          </c:tx>
          <c:spPr>
            <a:ln w="19050" cap="rnd">
              <a:solidFill>
                <a:schemeClr val="accent2"/>
              </a:solidFill>
              <a:prstDash val="dash"/>
              <a:round/>
            </a:ln>
            <a:effectLst/>
          </c:spPr>
          <c:marker>
            <c:symbol val="none"/>
          </c:marker>
          <c:xVal>
            <c:numRef>
              <c:f>'Data Summary'!$F$21:$O$21</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Summary'!$F$24:$O$24</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0-53E5-43F6-935D-28E090B64FB7}"/>
            </c:ext>
          </c:extLst>
        </c:ser>
        <c:ser>
          <c:idx val="7"/>
          <c:order val="3"/>
          <c:tx>
            <c:strRef>
              <c:f>'Data Summary'!$A$25</c:f>
              <c:strCache>
                <c:ptCount val="1"/>
                <c:pt idx="0">
                  <c:v>Physicochemical</c:v>
                </c:pt>
              </c:strCache>
            </c:strRef>
          </c:tx>
          <c:spPr>
            <a:ln w="19050" cap="rnd">
              <a:solidFill>
                <a:schemeClr val="accent4"/>
              </a:solidFill>
              <a:prstDash val="dash"/>
              <a:round/>
            </a:ln>
            <a:effectLst/>
          </c:spPr>
          <c:marker>
            <c:symbol val="none"/>
          </c:marker>
          <c:xVal>
            <c:numRef>
              <c:f>'Data Summary'!$F$21:$O$21</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Summary'!$F$25:$O$25</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3-53E5-43F6-935D-28E090B64FB7}"/>
            </c:ext>
          </c:extLst>
        </c:ser>
        <c:ser>
          <c:idx val="1"/>
          <c:order val="4"/>
          <c:tx>
            <c:strRef>
              <c:f>'Data Summary'!$A$26:$B$26</c:f>
              <c:strCache>
                <c:ptCount val="2"/>
                <c:pt idx="0">
                  <c:v>Biology</c:v>
                </c:pt>
              </c:strCache>
            </c:strRef>
          </c:tx>
          <c:spPr>
            <a:ln w="19050" cap="rnd">
              <a:solidFill>
                <a:srgbClr val="92D050"/>
              </a:solidFill>
              <a:prstDash val="dash"/>
              <a:round/>
            </a:ln>
            <a:effectLst/>
          </c:spPr>
          <c:marker>
            <c:symbol val="none"/>
          </c:marker>
          <c:xVal>
            <c:numRef>
              <c:f>'Data Summary'!$F$21:$O$21</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Summary'!$F$26:$O$26</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5-53E5-43F6-935D-28E090B64FB7}"/>
            </c:ext>
          </c:extLst>
        </c:ser>
        <c:ser>
          <c:idx val="0"/>
          <c:order val="5"/>
          <c:tx>
            <c:v>Monitoring Data</c:v>
          </c:tx>
          <c:spPr>
            <a:ln w="28575" cap="rnd">
              <a:solidFill>
                <a:schemeClr val="tx1"/>
              </a:solidFill>
              <a:round/>
            </a:ln>
            <a:effectLst/>
          </c:spPr>
          <c:marker>
            <c:symbol val="none"/>
          </c:marker>
          <c:xVal>
            <c:numRef>
              <c:f>'Data Summary'!$F$21:$O$21</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'Data Summary'!$F$27:$O$27</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4-53E5-43F6-935D-28E090B64FB7}"/>
            </c:ext>
          </c:extLst>
        </c:ser>
        <c:dLbls>
          <c:showLegendKey val="0"/>
          <c:showVal val="0"/>
          <c:showCatName val="0"/>
          <c:showSerName val="0"/>
          <c:showPercent val="0"/>
          <c:showBubbleSize val="0"/>
        </c:dLbls>
        <c:axId val="398449136"/>
        <c:axId val="398451488"/>
      </c:scatterChart>
      <c:valAx>
        <c:axId val="398449136"/>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Monitoring Year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98451488"/>
        <c:crosses val="autoZero"/>
        <c:crossBetween val="midCat"/>
      </c:valAx>
      <c:valAx>
        <c:axId val="39845148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Condition Score</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9844913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Bank Height Ratio (BHR)</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BHR</c:v>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forward val="0.21000000000000002"/>
            <c:dispRSqr val="0"/>
            <c:dispEq val="1"/>
            <c:trendlineLbl>
              <c:layout>
                <c:manualLayout>
                  <c:x val="-5.7337782229159515E-2"/>
                  <c:y val="-0.45744131092511209"/>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trendlineLbl>
          </c:trendline>
          <c:xVal>
            <c:numRef>
              <c:f>'Reference Curves'!$K$9:$P$9</c:f>
              <c:numCache>
                <c:formatCode>General</c:formatCode>
                <c:ptCount val="6"/>
                <c:pt idx="2">
                  <c:v>1.5</c:v>
                </c:pt>
                <c:pt idx="4">
                  <c:v>1.2</c:v>
                </c:pt>
                <c:pt idx="5">
                  <c:v>1</c:v>
                </c:pt>
              </c:numCache>
            </c:numRef>
          </c:xVal>
          <c:yVal>
            <c:numRef>
              <c:f>'Reference Curves'!$K$10:$P$10</c:f>
              <c:numCache>
                <c:formatCode>General</c:formatCode>
                <c:ptCount val="6"/>
                <c:pt idx="0">
                  <c:v>0</c:v>
                </c:pt>
                <c:pt idx="1">
                  <c:v>0.2</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C266-4796-88E9-230BE821F3E6}"/>
            </c:ext>
          </c:extLst>
        </c:ser>
        <c:dLbls>
          <c:showLegendKey val="0"/>
          <c:showVal val="0"/>
          <c:showCatName val="0"/>
          <c:showSerName val="0"/>
          <c:showPercent val="0"/>
          <c:showBubbleSize val="0"/>
        </c:dLbls>
        <c:axId val="398451096"/>
        <c:axId val="398450312"/>
      </c:scatterChart>
      <c:valAx>
        <c:axId val="398451096"/>
        <c:scaling>
          <c:orientation val="minMax"/>
          <c:max val="1.8"/>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(Ratio)</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50312"/>
        <c:crosses val="autoZero"/>
        <c:crossBetween val="midCat"/>
      </c:valAx>
      <c:valAx>
        <c:axId val="39845031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a:t>
                </a:r>
                <a:r>
                  <a:rPr lang="en-US" sz="1100" baseline="0"/>
                  <a:t> Value</a:t>
                </a:r>
                <a:endParaRPr lang="en-US" sz="1100"/>
              </a:p>
            </c:rich>
          </c:tx>
          <c:layout>
            <c:manualLayout>
              <c:xMode val="edge"/>
              <c:yMode val="edge"/>
              <c:x val="2.5144911728220403E-2"/>
              <c:y val="0.395517818019514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510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ER</a:t>
            </a:r>
            <a:r>
              <a:rPr lang="en-US" sz="1600" baseline="0"/>
              <a:t> for C, Cb and E Streams</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3601790980977305"/>
                  <c:y val="0.16682413040130759"/>
                </c:manualLayout>
              </c:layout>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aseline="0">
                        <a:solidFill>
                          <a:schemeClr val="accent1"/>
                        </a:solidFill>
                      </a:rPr>
                      <a:t>y = 1x - 1.7</a:t>
                    </a:r>
                    <a:endParaRPr lang="en-US" sz="1100">
                      <a:solidFill>
                        <a:schemeClr val="accent1"/>
                      </a:solidFill>
                    </a:endParaRPr>
                  </a:p>
                </c:rich>
              </c:tx>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'Reference Curves'!$K$42:$O$42</c:f>
              <c:numCache>
                <c:formatCode>General</c:formatCode>
                <c:ptCount val="5"/>
                <c:pt idx="2">
                  <c:v>2</c:v>
                </c:pt>
                <c:pt idx="4">
                  <c:v>2.4</c:v>
                </c:pt>
              </c:numCache>
            </c:numRef>
          </c:xVal>
          <c:yVal>
            <c:numRef>
              <c:f>'Reference Curves'!$K$43:$O$43</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0-1EEA-4BDA-8E2E-1D9F09529777}"/>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1.5779385800315841E-2"/>
                  <c:y val="0.1486441421635470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Curves'!$O$42:$P$42</c:f>
              <c:numCache>
                <c:formatCode>General</c:formatCode>
                <c:ptCount val="2"/>
                <c:pt idx="0">
                  <c:v>2.4</c:v>
                </c:pt>
                <c:pt idx="1">
                  <c:v>5</c:v>
                </c:pt>
              </c:numCache>
            </c:numRef>
          </c:xVal>
          <c:yVal>
            <c:numRef>
              <c:f>'Reference Curves'!$O$43:$P$43</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0-FBB7-4035-A17D-E0D766088381}"/>
            </c:ext>
          </c:extLst>
        </c:ser>
        <c:ser>
          <c:idx val="2"/>
          <c:order val="2"/>
          <c:spPr>
            <a:ln w="25400" cap="rnd">
              <a:solidFill>
                <a:srgbClr val="FF0000"/>
              </a:solidFill>
              <a:round/>
            </a:ln>
            <a:effectLst/>
          </c:spPr>
          <c:marker>
            <c:symbol val="none"/>
          </c:marker>
          <c:xVal>
            <c:numLit>
              <c:formatCode>General</c:formatCode>
              <c:ptCount val="2"/>
              <c:pt idx="0">
                <c:v>1.9</c:v>
              </c:pt>
              <c:pt idx="1">
                <c:v>0</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2-51C7-4277-99C3-8671EE365B73}"/>
            </c:ext>
          </c:extLst>
        </c:ser>
        <c:dLbls>
          <c:showLegendKey val="0"/>
          <c:showVal val="0"/>
          <c:showCatName val="0"/>
          <c:showSerName val="0"/>
          <c:showPercent val="0"/>
          <c:showBubbleSize val="0"/>
        </c:dLbls>
        <c:axId val="398451880"/>
        <c:axId val="398446392"/>
      </c:scatterChart>
      <c:valAx>
        <c:axId val="398451880"/>
        <c:scaling>
          <c:orientation val="minMax"/>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(Ratio)</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46392"/>
        <c:crosses val="autoZero"/>
        <c:crossBetween val="midCat"/>
      </c:valAx>
      <c:valAx>
        <c:axId val="39844639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5188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ER for A, Ba, B and Bc Streams</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20406871912163682"/>
                  <c:y val="0.11618080302965646"/>
                </c:manualLayout>
              </c:layout>
              <c:numFmt formatCode="#,##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'Reference Curves'!$K$77:$O$77</c:f>
              <c:numCache>
                <c:formatCode>General</c:formatCode>
                <c:ptCount val="5"/>
                <c:pt idx="2">
                  <c:v>1.2</c:v>
                </c:pt>
                <c:pt idx="4">
                  <c:v>1.4</c:v>
                </c:pt>
              </c:numCache>
            </c:numRef>
          </c:xVal>
          <c:yVal>
            <c:numRef>
              <c:f>'Reference Curves'!$K$78:$O$78</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0-B511-473E-8345-F7FDAF1C4433}"/>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4651335609413541"/>
                  <c:y val="5.3232460432122049E-3"/>
                </c:manualLayout>
              </c:layout>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aseline="0">
                        <a:solidFill>
                          <a:schemeClr val="accent2"/>
                        </a:solidFill>
                      </a:rPr>
                      <a:t>y = 0.375x + 0.175</a:t>
                    </a:r>
                    <a:endParaRPr lang="en-US" sz="1100">
                      <a:solidFill>
                        <a:schemeClr val="accent2"/>
                      </a:solidFill>
                    </a:endParaRPr>
                  </a:p>
                </c:rich>
              </c:tx>
              <c:numFmt formatCode="#,##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'Reference Curves'!$O$77:$P$77</c:f>
              <c:numCache>
                <c:formatCode>General</c:formatCode>
                <c:ptCount val="2"/>
                <c:pt idx="0">
                  <c:v>1.4</c:v>
                </c:pt>
                <c:pt idx="1">
                  <c:v>2.2000000000000002</c:v>
                </c:pt>
              </c:numCache>
            </c:numRef>
          </c:xVal>
          <c:yVal>
            <c:numRef>
              <c:f>'Reference Curves'!$O$78:$P$78</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0-EF40-4FA8-8C0D-00C8C3EA5E04}"/>
            </c:ext>
          </c:extLst>
        </c:ser>
        <c:ser>
          <c:idx val="2"/>
          <c:order val="2"/>
          <c:spPr>
            <a:ln w="25400" cap="rnd">
              <a:solidFill>
                <a:srgbClr val="FF0000"/>
              </a:solidFill>
              <a:round/>
            </a:ln>
            <a:effectLst/>
          </c:spPr>
          <c:marker>
            <c:symbol val="none"/>
          </c:marker>
          <c:xVal>
            <c:numLit>
              <c:formatCode>General</c:formatCode>
              <c:ptCount val="2"/>
              <c:pt idx="0">
                <c:v>1.19</c:v>
              </c:pt>
              <c:pt idx="1">
                <c:v>0</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2-A8A5-4D19-AF0F-196591C04FE0}"/>
            </c:ext>
          </c:extLst>
        </c:ser>
        <c:dLbls>
          <c:showLegendKey val="0"/>
          <c:showVal val="0"/>
          <c:showCatName val="0"/>
          <c:showSerName val="0"/>
          <c:showPercent val="0"/>
          <c:showBubbleSize val="0"/>
        </c:dLbls>
        <c:axId val="398446784"/>
        <c:axId val="398447176"/>
      </c:scatterChart>
      <c:valAx>
        <c:axId val="398446784"/>
        <c:scaling>
          <c:orientation val="minMax"/>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(Ratio)</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47176"/>
        <c:crosses val="autoZero"/>
        <c:crossBetween val="midCat"/>
      </c:valAx>
      <c:valAx>
        <c:axId val="39844717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467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LWD Index</a:t>
            </a:r>
            <a:r>
              <a:rPr lang="en-US"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'Reference Curves'!$S$12</c:f>
              <c:strCache>
                <c:ptCount val="1"/>
                <c:pt idx="0">
                  <c:v>NF/FAR</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4994042715032835E-2"/>
                  <c:y val="0.27016364529992942"/>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'Reference Curves'!$S$9:$W$9</c:f>
              <c:numCache>
                <c:formatCode>General</c:formatCode>
                <c:ptCount val="5"/>
                <c:pt idx="0">
                  <c:v>0</c:v>
                </c:pt>
                <c:pt idx="4">
                  <c:v>430</c:v>
                </c:pt>
              </c:numCache>
            </c:numRef>
          </c:xVal>
          <c:yVal>
            <c:numRef>
              <c:f>'Reference Curves'!$S$10:$W$10</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0-7D9C-4895-B98E-45CEF21B931D}"/>
            </c:ext>
          </c:extLst>
        </c:ser>
        <c:ser>
          <c:idx val="1"/>
          <c:order val="1"/>
          <c:tx>
            <c:strRef>
              <c:f>'Reference Curves'!$T$12</c:f>
              <c:strCache>
                <c:ptCount val="1"/>
                <c:pt idx="0">
                  <c:v>F</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5.6577018681140116E-2"/>
                  <c:y val="0.14952573005998884"/>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Curves'!$W$9:$X$9</c:f>
              <c:numCache>
                <c:formatCode>General</c:formatCode>
                <c:ptCount val="2"/>
                <c:pt idx="0">
                  <c:v>430</c:v>
                </c:pt>
                <c:pt idx="1">
                  <c:v>660</c:v>
                </c:pt>
              </c:numCache>
            </c:numRef>
          </c:xVal>
          <c:yVal>
            <c:numRef>
              <c:f>'Reference Curves'!$W$10:$X$10</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1-2777-4E45-B140-67A5ECEFF695}"/>
            </c:ext>
          </c:extLst>
        </c:ser>
        <c:dLbls>
          <c:showLegendKey val="0"/>
          <c:showVal val="0"/>
          <c:showCatName val="0"/>
          <c:showSerName val="0"/>
          <c:showPercent val="0"/>
          <c:showBubbleSize val="0"/>
        </c:dLbls>
        <c:axId val="398444824"/>
        <c:axId val="398445216"/>
      </c:scatterChart>
      <c:valAx>
        <c:axId val="3984448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a:t>
                </a:r>
                <a:r>
                  <a:rPr lang="en-US" sz="1100" baseline="0"/>
                  <a:t> Value (Index Score)</a:t>
                </a:r>
                <a:endParaRPr lang="en-US" sz="1100"/>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445216"/>
        <c:crosses val="autoZero"/>
        <c:crossBetween val="midCat"/>
      </c:valAx>
      <c:valAx>
        <c:axId val="398445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a:t>
                </a:r>
                <a:r>
                  <a:rPr lang="en-US" sz="1100" baseline="0"/>
                  <a:t> Value</a:t>
                </a:r>
                <a:endParaRPr lang="en-US"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4448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Pool Spacing Ratio for Bc Stream</a:t>
            </a:r>
            <a:r>
              <a:rPr lang="en-US" sz="1600" baseline="0"/>
              <a:t> Types</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forward val="6"/>
            <c:dispRSqr val="0"/>
            <c:dispEq val="1"/>
            <c:trendlineLbl>
              <c:layout>
                <c:manualLayout>
                  <c:x val="1.9997316900289948E-2"/>
                  <c:y val="-0.29739336917113562"/>
                </c:manualLayout>
              </c:layout>
              <c:numFmt formatCode="#,##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'Reference Curves'!$S$205:$X$205</c:f>
              <c:numCache>
                <c:formatCode>0.0</c:formatCode>
                <c:ptCount val="6"/>
                <c:pt idx="0">
                  <c:v>8</c:v>
                </c:pt>
                <c:pt idx="4">
                  <c:v>6</c:v>
                </c:pt>
                <c:pt idx="5">
                  <c:v>5</c:v>
                </c:pt>
              </c:numCache>
            </c:numRef>
          </c:xVal>
          <c:yVal>
            <c:numRef>
              <c:f>'Reference Curves'!$S$206:$X$206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2D8B-439A-A86A-F9817A30EAA5}"/>
            </c:ext>
          </c:extLst>
        </c:ser>
        <c:dLbls>
          <c:showLegendKey val="0"/>
          <c:showVal val="0"/>
          <c:showCatName val="0"/>
          <c:showSerName val="0"/>
          <c:showPercent val="0"/>
          <c:showBubbleSize val="0"/>
        </c:dLbls>
        <c:axId val="398445608"/>
        <c:axId val="398446000"/>
      </c:scatterChart>
      <c:valAx>
        <c:axId val="3984456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Field Value (Ratio)</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46000"/>
        <c:crosses val="autoZero"/>
        <c:crossBetween val="midCat"/>
      </c:valAx>
      <c:valAx>
        <c:axId val="398446000"/>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Index Value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844560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26" Type="http://schemas.openxmlformats.org/officeDocument/2006/relationships/chart" Target="../charts/chart30.xml"/><Relationship Id="rId3" Type="http://schemas.openxmlformats.org/officeDocument/2006/relationships/chart" Target="../charts/chart7.xml"/><Relationship Id="rId21" Type="http://schemas.openxmlformats.org/officeDocument/2006/relationships/chart" Target="../charts/chart25.xml"/><Relationship Id="rId34" Type="http://schemas.openxmlformats.org/officeDocument/2006/relationships/chart" Target="../charts/chart38.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5" Type="http://schemas.openxmlformats.org/officeDocument/2006/relationships/chart" Target="../charts/chart29.xml"/><Relationship Id="rId33" Type="http://schemas.openxmlformats.org/officeDocument/2006/relationships/chart" Target="../charts/chart37.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29" Type="http://schemas.openxmlformats.org/officeDocument/2006/relationships/chart" Target="../charts/chart33.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24" Type="http://schemas.openxmlformats.org/officeDocument/2006/relationships/chart" Target="../charts/chart28.xml"/><Relationship Id="rId32" Type="http://schemas.openxmlformats.org/officeDocument/2006/relationships/chart" Target="../charts/chart36.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28" Type="http://schemas.openxmlformats.org/officeDocument/2006/relationships/chart" Target="../charts/chart32.xml"/><Relationship Id="rId10" Type="http://schemas.openxmlformats.org/officeDocument/2006/relationships/chart" Target="../charts/chart14.xml"/><Relationship Id="rId19" Type="http://schemas.openxmlformats.org/officeDocument/2006/relationships/chart" Target="../charts/chart23.xml"/><Relationship Id="rId31" Type="http://schemas.openxmlformats.org/officeDocument/2006/relationships/chart" Target="../charts/chart35.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 Id="rId27" Type="http://schemas.openxmlformats.org/officeDocument/2006/relationships/chart" Target="../charts/chart31.xml"/><Relationship Id="rId30" Type="http://schemas.openxmlformats.org/officeDocument/2006/relationships/chart" Target="../charts/chart34.xml"/><Relationship Id="rId35"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6</xdr:col>
      <xdr:colOff>38660</xdr:colOff>
      <xdr:row>8</xdr:row>
      <xdr:rowOff>7844</xdr:rowOff>
    </xdr:from>
    <xdr:to>
      <xdr:col>11</xdr:col>
      <xdr:colOff>571499</xdr:colOff>
      <xdr:row>17</xdr:row>
      <xdr:rowOff>177613</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648260" y="1709644"/>
          <a:ext cx="4914339" cy="1414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Expand</a:t>
          </a:r>
          <a:r>
            <a:rPr lang="en-US" sz="1100" baseline="0"/>
            <a:t> on the programmatic goals of this project:</a:t>
          </a:r>
        </a:p>
        <a:p>
          <a:endParaRPr lang="en-US" sz="1100"/>
        </a:p>
      </xdr:txBody>
    </xdr:sp>
    <xdr:clientData/>
  </xdr:twoCellAnchor>
  <xdr:twoCellAnchor>
    <xdr:from>
      <xdr:col>6</xdr:col>
      <xdr:colOff>34924</xdr:colOff>
      <xdr:row>18</xdr:row>
      <xdr:rowOff>24092</xdr:rowOff>
    </xdr:from>
    <xdr:to>
      <xdr:col>11</xdr:col>
      <xdr:colOff>558799</xdr:colOff>
      <xdr:row>26</xdr:row>
      <xdr:rowOff>43142</xdr:rowOff>
    </xdr:to>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644524" y="3148292"/>
          <a:ext cx="4905375" cy="144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Explain the restoration</a:t>
          </a:r>
          <a:r>
            <a:rPr lang="en-US" sz="1100" baseline="0"/>
            <a:t> potential of this project based on the programmatic goals (based on catchment assessment form):</a:t>
          </a:r>
        </a:p>
        <a:p>
          <a:endParaRPr lang="en-US" sz="1100"/>
        </a:p>
      </xdr:txBody>
    </xdr:sp>
    <xdr:clientData/>
  </xdr:twoCellAnchor>
  <xdr:twoCellAnchor>
    <xdr:from>
      <xdr:col>6</xdr:col>
      <xdr:colOff>47624</xdr:colOff>
      <xdr:row>26</xdr:row>
      <xdr:rowOff>95249</xdr:rowOff>
    </xdr:from>
    <xdr:to>
      <xdr:col>11</xdr:col>
      <xdr:colOff>571499</xdr:colOff>
      <xdr:row>34</xdr:row>
      <xdr:rowOff>85724</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657224" y="4641849"/>
          <a:ext cx="4905375" cy="141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Explain </a:t>
          </a:r>
          <a:r>
            <a:rPr lang="en-US" sz="1100" baseline="0"/>
            <a:t>the goals and objectives for this project:</a:t>
          </a:r>
        </a:p>
        <a:p>
          <a:endParaRPr lang="en-US" sz="1100"/>
        </a:p>
        <a:p>
          <a:r>
            <a:rPr lang="en-US" sz="1100"/>
            <a:t>Goals:</a:t>
          </a:r>
          <a:r>
            <a:rPr lang="en-US" sz="1100" baseline="0"/>
            <a:t> </a:t>
          </a:r>
        </a:p>
        <a:p>
          <a:endParaRPr lang="en-US" sz="1100" baseline="0"/>
        </a:p>
        <a:p>
          <a:r>
            <a:rPr lang="en-US" sz="1100" baseline="0"/>
            <a:t>Objectives: </a:t>
          </a:r>
          <a:endParaRPr lang="en-US" sz="1100"/>
        </a:p>
      </xdr:txBody>
    </xdr:sp>
    <xdr:clientData/>
  </xdr:twoCellAnchor>
  <xdr:twoCellAnchor>
    <xdr:from>
      <xdr:col>0</xdr:col>
      <xdr:colOff>73996</xdr:colOff>
      <xdr:row>47</xdr:row>
      <xdr:rowOff>81878</xdr:rowOff>
    </xdr:from>
    <xdr:to>
      <xdr:col>7</xdr:col>
      <xdr:colOff>78442</xdr:colOff>
      <xdr:row>50</xdr:row>
      <xdr:rowOff>107577</xdr:rowOff>
    </xdr:to>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73996" y="7531549"/>
          <a:ext cx="5481881" cy="56358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t>NOTICE: </a:t>
          </a:r>
          <a:r>
            <a:rPr lang="en-US" sz="1100" baseline="0">
              <a:solidFill>
                <a:schemeClr val="dk1"/>
              </a:solidFill>
              <a:effectLst/>
              <a:latin typeface="+mn-lt"/>
              <a:ea typeface="+mn-ea"/>
              <a:cs typeface="+mn-cs"/>
            </a:rPr>
            <a:t>If you find errors or problems, please contact </a:t>
          </a:r>
          <a:r>
            <a:rPr lang="en-US" sz="1100">
              <a:solidFill>
                <a:schemeClr val="dk1"/>
              </a:solidFill>
              <a:effectLst/>
              <a:latin typeface="+mn-lt"/>
              <a:ea typeface="+mn-ea"/>
              <a:cs typeface="+mn-cs"/>
            </a:rPr>
            <a:t>April Marcangeli </a:t>
          </a:r>
          <a:r>
            <a:rPr lang="en-US" sz="1100" baseline="0">
              <a:solidFill>
                <a:schemeClr val="dk1"/>
              </a:solidFill>
              <a:effectLst/>
              <a:latin typeface="+mn-lt"/>
              <a:ea typeface="+mn-ea"/>
              <a:cs typeface="+mn-cs"/>
            </a:rPr>
            <a:t>at </a:t>
          </a:r>
          <a:r>
            <a:rPr lang="en-US" sz="1100" b="0" i="0">
              <a:solidFill>
                <a:schemeClr val="dk1"/>
              </a:solidFill>
              <a:effectLst/>
              <a:latin typeface="+mn-lt"/>
              <a:ea typeface="+mn-ea"/>
              <a:cs typeface="+mn-cs"/>
            </a:rPr>
            <a:t>April.N.Marcangeli@usace.army.mil</a:t>
          </a:r>
          <a:endParaRPr lang="en-US" sz="1100" u="none" baseline="0">
            <a:solidFill>
              <a:sysClr val="windowText" lastClr="000000"/>
            </a:solidFill>
          </a:endParaRPr>
        </a:p>
      </xdr:txBody>
    </xdr:sp>
    <xdr:clientData/>
  </xdr:twoCellAnchor>
  <xdr:twoCellAnchor>
    <xdr:from>
      <xdr:col>0</xdr:col>
      <xdr:colOff>43890</xdr:colOff>
      <xdr:row>9</xdr:row>
      <xdr:rowOff>53787</xdr:rowOff>
    </xdr:from>
    <xdr:to>
      <xdr:col>4</xdr:col>
      <xdr:colOff>558800</xdr:colOff>
      <xdr:row>17</xdr:row>
      <xdr:rowOff>98611</xdr:rowOff>
    </xdr:to>
    <xdr:sp macro="" textlink="">
      <xdr:nvSpPr>
        <xdr:cNvPr id="7" name="TextBox 6">
          <a:extLst>
            <a:ext uri="{FF2B5EF4-FFF2-40B4-BE49-F238E27FC236}">
              <a16:creationId xmlns:a16="http://schemas.microsoft.com/office/drawing/2014/main" xmlns="" id="{22BE1E87-F535-49D8-A600-813440F7EB6D}"/>
            </a:ext>
          </a:extLst>
        </xdr:cNvPr>
        <xdr:cNvSpPr txBox="1"/>
      </xdr:nvSpPr>
      <xdr:spPr>
        <a:xfrm>
          <a:off x="43890" y="1730187"/>
          <a:ext cx="4450416" cy="1479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Describe this reach and </a:t>
          </a:r>
          <a:r>
            <a:rPr lang="en-US" sz="1100" baseline="0"/>
            <a:t>reach break criteria</a:t>
          </a:r>
          <a:r>
            <a:rPr lang="en-US" sz="1100"/>
            <a:t>:</a:t>
          </a:r>
        </a:p>
      </xdr:txBody>
    </xdr:sp>
    <xdr:clientData/>
  </xdr:twoCellAnchor>
  <xdr:twoCellAnchor>
    <xdr:from>
      <xdr:col>0</xdr:col>
      <xdr:colOff>52853</xdr:colOff>
      <xdr:row>26</xdr:row>
      <xdr:rowOff>26894</xdr:rowOff>
    </xdr:from>
    <xdr:to>
      <xdr:col>4</xdr:col>
      <xdr:colOff>567763</xdr:colOff>
      <xdr:row>34</xdr:row>
      <xdr:rowOff>143437</xdr:rowOff>
    </xdr:to>
    <xdr:sp macro="" textlink="">
      <xdr:nvSpPr>
        <xdr:cNvPr id="8" name="TextBox 7">
          <a:extLst>
            <a:ext uri="{FF2B5EF4-FFF2-40B4-BE49-F238E27FC236}">
              <a16:creationId xmlns:a16="http://schemas.microsoft.com/office/drawing/2014/main" xmlns="" id="{DEB559A2-E5CB-4E77-9AF0-97B28A8EC995}"/>
            </a:ext>
          </a:extLst>
        </xdr:cNvPr>
        <xdr:cNvSpPr txBox="1"/>
      </xdr:nvSpPr>
      <xdr:spPr>
        <a:xfrm>
          <a:off x="52853" y="4778188"/>
          <a:ext cx="4405592" cy="1550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Describe the rationale used to select the reference stream type: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89648</xdr:colOff>
      <xdr:row>28</xdr:row>
      <xdr:rowOff>141738</xdr:rowOff>
    </xdr:from>
    <xdr:to>
      <xdr:col>13</xdr:col>
      <xdr:colOff>210480</xdr:colOff>
      <xdr:row>50</xdr:row>
      <xdr:rowOff>40308</xdr:rowOff>
    </xdr:to>
    <xdr:graphicFrame macro="">
      <xdr:nvGraphicFramePr>
        <xdr:cNvPr id="2" name="Chart 1">
          <a:extLst>
            <a:ext uri="{FF2B5EF4-FFF2-40B4-BE49-F238E27FC236}">
              <a16:creationId xmlns:a16="http://schemas.microsoft.com/office/drawing/2014/main" xmlns="" id="{B221CF4E-9ACB-4548-8EF7-6B02759BF4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53613</xdr:colOff>
      <xdr:row>51</xdr:row>
      <xdr:rowOff>54972</xdr:rowOff>
    </xdr:from>
    <xdr:to>
      <xdr:col>13</xdr:col>
      <xdr:colOff>197303</xdr:colOff>
      <xdr:row>72</xdr:row>
      <xdr:rowOff>174715</xdr:rowOff>
    </xdr:to>
    <xdr:graphicFrame macro="">
      <xdr:nvGraphicFramePr>
        <xdr:cNvPr id="3" name="Chart 2">
          <a:extLst>
            <a:ext uri="{FF2B5EF4-FFF2-40B4-BE49-F238E27FC236}">
              <a16:creationId xmlns:a16="http://schemas.microsoft.com/office/drawing/2014/main" xmlns="" id="{12BE19F8-07EE-4D5C-8496-D254FB984E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118110</xdr:colOff>
      <xdr:row>51</xdr:row>
      <xdr:rowOff>54155</xdr:rowOff>
    </xdr:from>
    <xdr:to>
      <xdr:col>35</xdr:col>
      <xdr:colOff>333375</xdr:colOff>
      <xdr:row>72</xdr:row>
      <xdr:rowOff>173898</xdr:rowOff>
    </xdr:to>
    <xdr:graphicFrame macro="">
      <xdr:nvGraphicFramePr>
        <xdr:cNvPr id="4" name="Chart 3">
          <a:extLst>
            <a:ext uri="{FF2B5EF4-FFF2-40B4-BE49-F238E27FC236}">
              <a16:creationId xmlns:a16="http://schemas.microsoft.com/office/drawing/2014/main" xmlns="" id="{5689FEB0-0CB4-49E6-A548-81C6594F5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108857</xdr:colOff>
      <xdr:row>29</xdr:row>
      <xdr:rowOff>27215</xdr:rowOff>
    </xdr:from>
    <xdr:to>
      <xdr:col>35</xdr:col>
      <xdr:colOff>336370</xdr:colOff>
      <xdr:row>50</xdr:row>
      <xdr:rowOff>183696</xdr:rowOff>
    </xdr:to>
    <xdr:graphicFrame macro="">
      <xdr:nvGraphicFramePr>
        <xdr:cNvPr id="5" name="Chart 4">
          <a:extLst>
            <a:ext uri="{FF2B5EF4-FFF2-40B4-BE49-F238E27FC236}">
              <a16:creationId xmlns:a16="http://schemas.microsoft.com/office/drawing/2014/main" xmlns="" id="{25FBA3C0-0791-4964-B416-81AD93535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16329</xdr:colOff>
      <xdr:row>14</xdr:row>
      <xdr:rowOff>58512</xdr:rowOff>
    </xdr:from>
    <xdr:to>
      <xdr:col>15</xdr:col>
      <xdr:colOff>771525</xdr:colOff>
      <xdr:row>38</xdr:row>
      <xdr:rowOff>57149</xdr:rowOff>
    </xdr:to>
    <xdr:graphicFrame macro="">
      <xdr:nvGraphicFramePr>
        <xdr:cNvPr id="2" name="Chart 1">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26942</xdr:colOff>
      <xdr:row>49</xdr:row>
      <xdr:rowOff>12246</xdr:rowOff>
    </xdr:from>
    <xdr:to>
      <xdr:col>15</xdr:col>
      <xdr:colOff>784860</xdr:colOff>
      <xdr:row>72</xdr:row>
      <xdr:rowOff>154305</xdr:rowOff>
    </xdr:to>
    <xdr:graphicFrame macro="">
      <xdr:nvGraphicFramePr>
        <xdr:cNvPr id="3" name="Chart 2">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63954</xdr:colOff>
      <xdr:row>83</xdr:row>
      <xdr:rowOff>99331</xdr:rowOff>
    </xdr:from>
    <xdr:to>
      <xdr:col>15</xdr:col>
      <xdr:colOff>742950</xdr:colOff>
      <xdr:row>106</xdr:row>
      <xdr:rowOff>114300</xdr:rowOff>
    </xdr:to>
    <xdr:graphicFrame macro="">
      <xdr:nvGraphicFramePr>
        <xdr:cNvPr id="4" name="Chart 3">
          <a:extLst>
            <a:ext uri="{FF2B5EF4-FFF2-40B4-BE49-F238E27FC236}">
              <a16:creationId xmlns:a16="http://schemas.microsoft.com/office/drawing/2014/main" xmlns=""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36587</xdr:colOff>
      <xdr:row>15</xdr:row>
      <xdr:rowOff>56170</xdr:rowOff>
    </xdr:from>
    <xdr:to>
      <xdr:col>23</xdr:col>
      <xdr:colOff>765462</xdr:colOff>
      <xdr:row>39</xdr:row>
      <xdr:rowOff>170292</xdr:rowOff>
    </xdr:to>
    <xdr:graphicFrame macro="">
      <xdr:nvGraphicFramePr>
        <xdr:cNvPr id="5" name="Chart 4">
          <a:extLst>
            <a:ext uri="{FF2B5EF4-FFF2-40B4-BE49-F238E27FC236}">
              <a16:creationId xmlns:a16="http://schemas.microsoft.com/office/drawing/2014/main" xmlns=""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82078</xdr:colOff>
      <xdr:row>211</xdr:row>
      <xdr:rowOff>128494</xdr:rowOff>
    </xdr:from>
    <xdr:to>
      <xdr:col>24</xdr:col>
      <xdr:colOff>0</xdr:colOff>
      <xdr:row>233</xdr:row>
      <xdr:rowOff>170516</xdr:rowOff>
    </xdr:to>
    <xdr:graphicFrame macro="">
      <xdr:nvGraphicFramePr>
        <xdr:cNvPr id="9" name="Chart 8">
          <a:extLst>
            <a:ext uri="{FF2B5EF4-FFF2-40B4-BE49-F238E27FC236}">
              <a16:creationId xmlns:a16="http://schemas.microsoft.com/office/drawing/2014/main" xmlns=""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122464</xdr:colOff>
      <xdr:row>179</xdr:row>
      <xdr:rowOff>54428</xdr:rowOff>
    </xdr:from>
    <xdr:to>
      <xdr:col>24</xdr:col>
      <xdr:colOff>0</xdr:colOff>
      <xdr:row>201</xdr:row>
      <xdr:rowOff>133350</xdr:rowOff>
    </xdr:to>
    <xdr:graphicFrame macro="">
      <xdr:nvGraphicFramePr>
        <xdr:cNvPr id="10" name="Chart 9">
          <a:extLst>
            <a:ext uri="{FF2B5EF4-FFF2-40B4-BE49-F238E27FC236}">
              <a16:creationId xmlns:a16="http://schemas.microsoft.com/office/drawing/2014/main" xmlns=""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39782</xdr:colOff>
      <xdr:row>244</xdr:row>
      <xdr:rowOff>80231</xdr:rowOff>
    </xdr:from>
    <xdr:to>
      <xdr:col>23</xdr:col>
      <xdr:colOff>687481</xdr:colOff>
      <xdr:row>267</xdr:row>
      <xdr:rowOff>80683</xdr:rowOff>
    </xdr:to>
    <xdr:graphicFrame macro="">
      <xdr:nvGraphicFramePr>
        <xdr:cNvPr id="12" name="Chart 11">
          <a:extLst>
            <a:ext uri="{FF2B5EF4-FFF2-40B4-BE49-F238E27FC236}">
              <a16:creationId xmlns:a16="http://schemas.microsoft.com/office/drawing/2014/main" xmlns=""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35514</xdr:colOff>
      <xdr:row>278</xdr:row>
      <xdr:rowOff>51015</xdr:rowOff>
    </xdr:from>
    <xdr:to>
      <xdr:col>23</xdr:col>
      <xdr:colOff>703169</xdr:colOff>
      <xdr:row>301</xdr:row>
      <xdr:rowOff>1682</xdr:rowOff>
    </xdr:to>
    <xdr:graphicFrame macro="">
      <xdr:nvGraphicFramePr>
        <xdr:cNvPr id="13" name="Chart 12">
          <a:extLst>
            <a:ext uri="{FF2B5EF4-FFF2-40B4-BE49-F238E27FC236}">
              <a16:creationId xmlns:a16="http://schemas.microsoft.com/office/drawing/2014/main" xmlns=""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770468</xdr:colOff>
      <xdr:row>379</xdr:row>
      <xdr:rowOff>908</xdr:rowOff>
    </xdr:from>
    <xdr:to>
      <xdr:col>23</xdr:col>
      <xdr:colOff>673101</xdr:colOff>
      <xdr:row>402</xdr:row>
      <xdr:rowOff>149226</xdr:rowOff>
    </xdr:to>
    <xdr:graphicFrame macro="">
      <xdr:nvGraphicFramePr>
        <xdr:cNvPr id="14" name="Chart 13">
          <a:extLst>
            <a:ext uri="{FF2B5EF4-FFF2-40B4-BE49-F238E27FC236}">
              <a16:creationId xmlns:a16="http://schemas.microsoft.com/office/drawing/2014/main" xmlns=""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80963</xdr:colOff>
      <xdr:row>311</xdr:row>
      <xdr:rowOff>143435</xdr:rowOff>
    </xdr:from>
    <xdr:to>
      <xdr:col>23</xdr:col>
      <xdr:colOff>704850</xdr:colOff>
      <xdr:row>333</xdr:row>
      <xdr:rowOff>161926</xdr:rowOff>
    </xdr:to>
    <xdr:graphicFrame macro="">
      <xdr:nvGraphicFramePr>
        <xdr:cNvPr id="15" name="Chart 14">
          <a:extLst>
            <a:ext uri="{FF2B5EF4-FFF2-40B4-BE49-F238E27FC236}">
              <a16:creationId xmlns:a16="http://schemas.microsoft.com/office/drawing/2014/main" xmlns=""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40822</xdr:colOff>
      <xdr:row>344</xdr:row>
      <xdr:rowOff>82322</xdr:rowOff>
    </xdr:from>
    <xdr:to>
      <xdr:col>23</xdr:col>
      <xdr:colOff>704850</xdr:colOff>
      <xdr:row>367</xdr:row>
      <xdr:rowOff>104775</xdr:rowOff>
    </xdr:to>
    <xdr:graphicFrame macro="">
      <xdr:nvGraphicFramePr>
        <xdr:cNvPr id="17" name="Chart 16">
          <a:extLst>
            <a:ext uri="{FF2B5EF4-FFF2-40B4-BE49-F238E27FC236}">
              <a16:creationId xmlns:a16="http://schemas.microsoft.com/office/drawing/2014/main" xmlns=""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61231</xdr:colOff>
      <xdr:row>248</xdr:row>
      <xdr:rowOff>0</xdr:rowOff>
    </xdr:from>
    <xdr:to>
      <xdr:col>24</xdr:col>
      <xdr:colOff>88446</xdr:colOff>
      <xdr:row>248</xdr:row>
      <xdr:rowOff>0</xdr:rowOff>
    </xdr:to>
    <xdr:graphicFrame macro="">
      <xdr:nvGraphicFramePr>
        <xdr:cNvPr id="18" name="Chart 17">
          <a:extLst>
            <a:ext uri="{FF2B5EF4-FFF2-40B4-BE49-F238E27FC236}">
              <a16:creationId xmlns:a16="http://schemas.microsoft.com/office/drawing/2014/main" xmlns=""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61232</xdr:colOff>
      <xdr:row>213</xdr:row>
      <xdr:rowOff>0</xdr:rowOff>
    </xdr:from>
    <xdr:to>
      <xdr:col>24</xdr:col>
      <xdr:colOff>88446</xdr:colOff>
      <xdr:row>213</xdr:row>
      <xdr:rowOff>0</xdr:rowOff>
    </xdr:to>
    <xdr:graphicFrame macro="">
      <xdr:nvGraphicFramePr>
        <xdr:cNvPr id="20" name="Chart 19">
          <a:extLst>
            <a:ext uri="{FF2B5EF4-FFF2-40B4-BE49-F238E27FC236}">
              <a16:creationId xmlns:a16="http://schemas.microsoft.com/office/drawing/2014/main" xmlns=""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142874</xdr:colOff>
      <xdr:row>108</xdr:row>
      <xdr:rowOff>0</xdr:rowOff>
    </xdr:from>
    <xdr:to>
      <xdr:col>24</xdr:col>
      <xdr:colOff>170088</xdr:colOff>
      <xdr:row>108</xdr:row>
      <xdr:rowOff>0</xdr:rowOff>
    </xdr:to>
    <xdr:graphicFrame macro="">
      <xdr:nvGraphicFramePr>
        <xdr:cNvPr id="42" name="Chart 41">
          <a:extLst>
            <a:ext uri="{FF2B5EF4-FFF2-40B4-BE49-F238E27FC236}">
              <a16:creationId xmlns:a16="http://schemas.microsoft.com/office/drawing/2014/main" xmlns="" id="{00000000-0008-0000-04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17</xdr:col>
      <xdr:colOff>29936</xdr:colOff>
      <xdr:row>82</xdr:row>
      <xdr:rowOff>44223</xdr:rowOff>
    </xdr:from>
    <xdr:to>
      <xdr:col>23</xdr:col>
      <xdr:colOff>771525</xdr:colOff>
      <xdr:row>105</xdr:row>
      <xdr:rowOff>85725</xdr:rowOff>
    </xdr:to>
    <xdr:graphicFrame macro="">
      <xdr:nvGraphicFramePr>
        <xdr:cNvPr id="60" name="Chart 59">
          <a:extLst>
            <a:ext uri="{FF2B5EF4-FFF2-40B4-BE49-F238E27FC236}">
              <a16:creationId xmlns:a16="http://schemas.microsoft.com/office/drawing/2014/main" xmlns="" id="{00000000-0008-0000-04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xdr:col>
      <xdr:colOff>1211</xdr:colOff>
      <xdr:row>412</xdr:row>
      <xdr:rowOff>89354</xdr:rowOff>
    </xdr:from>
    <xdr:to>
      <xdr:col>23</xdr:col>
      <xdr:colOff>719667</xdr:colOff>
      <xdr:row>435</xdr:row>
      <xdr:rowOff>129117</xdr:rowOff>
    </xdr:to>
    <xdr:graphicFrame macro="">
      <xdr:nvGraphicFramePr>
        <xdr:cNvPr id="57" name="Chart 56">
          <a:extLst>
            <a:ext uri="{FF2B5EF4-FFF2-40B4-BE49-F238E27FC236}">
              <a16:creationId xmlns:a16="http://schemas.microsoft.com/office/drawing/2014/main" xmlns="" id="{00000000-0008-0000-04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29029</xdr:colOff>
      <xdr:row>16</xdr:row>
      <xdr:rowOff>7256</xdr:rowOff>
    </xdr:from>
    <xdr:to>
      <xdr:col>7</xdr:col>
      <xdr:colOff>673101</xdr:colOff>
      <xdr:row>37</xdr:row>
      <xdr:rowOff>3175</xdr:rowOff>
    </xdr:to>
    <xdr:graphicFrame macro="">
      <xdr:nvGraphicFramePr>
        <xdr:cNvPr id="71" name="Chart 70">
          <a:extLst>
            <a:ext uri="{FF2B5EF4-FFF2-40B4-BE49-F238E27FC236}">
              <a16:creationId xmlns:a16="http://schemas.microsoft.com/office/drawing/2014/main" xmlns="" id="{00000000-0008-0000-04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25</xdr:col>
      <xdr:colOff>-1</xdr:colOff>
      <xdr:row>15</xdr:row>
      <xdr:rowOff>89506</xdr:rowOff>
    </xdr:from>
    <xdr:to>
      <xdr:col>32</xdr:col>
      <xdr:colOff>250370</xdr:colOff>
      <xdr:row>39</xdr:row>
      <xdr:rowOff>0</xdr:rowOff>
    </xdr:to>
    <xdr:graphicFrame macro="">
      <xdr:nvGraphicFramePr>
        <xdr:cNvPr id="77" name="Chart 76">
          <a:extLst>
            <a:ext uri="{FF2B5EF4-FFF2-40B4-BE49-F238E27FC236}">
              <a16:creationId xmlns:a16="http://schemas.microsoft.com/office/drawing/2014/main" xmlns="" id="{DCC4F8D7-6934-4D72-9994-F8BA3B40A5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xdr:col>
      <xdr:colOff>50800</xdr:colOff>
      <xdr:row>478</xdr:row>
      <xdr:rowOff>55880</xdr:rowOff>
    </xdr:from>
    <xdr:to>
      <xdr:col>24</xdr:col>
      <xdr:colOff>0</xdr:colOff>
      <xdr:row>500</xdr:row>
      <xdr:rowOff>82415</xdr:rowOff>
    </xdr:to>
    <xdr:graphicFrame macro="">
      <xdr:nvGraphicFramePr>
        <xdr:cNvPr id="80" name="Chart 79">
          <a:extLst>
            <a:ext uri="{FF2B5EF4-FFF2-40B4-BE49-F238E27FC236}">
              <a16:creationId xmlns:a16="http://schemas.microsoft.com/office/drawing/2014/main" xmlns="" id="{E1990C54-D9B9-49AE-8695-3E9FF5F4CB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xdr:col>
      <xdr:colOff>41487</xdr:colOff>
      <xdr:row>446</xdr:row>
      <xdr:rowOff>38947</xdr:rowOff>
    </xdr:from>
    <xdr:to>
      <xdr:col>23</xdr:col>
      <xdr:colOff>676109</xdr:colOff>
      <xdr:row>469</xdr:row>
      <xdr:rowOff>55880</xdr:rowOff>
    </xdr:to>
    <xdr:graphicFrame macro="">
      <xdr:nvGraphicFramePr>
        <xdr:cNvPr id="82" name="Chart 81">
          <a:extLst>
            <a:ext uri="{FF2B5EF4-FFF2-40B4-BE49-F238E27FC236}">
              <a16:creationId xmlns:a16="http://schemas.microsoft.com/office/drawing/2014/main" xmlns="" id="{334D2C5D-292B-49E9-8602-01BE93DC2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17</xdr:col>
      <xdr:colOff>59530</xdr:colOff>
      <xdr:row>49</xdr:row>
      <xdr:rowOff>0</xdr:rowOff>
    </xdr:from>
    <xdr:to>
      <xdr:col>23</xdr:col>
      <xdr:colOff>785811</xdr:colOff>
      <xdr:row>72</xdr:row>
      <xdr:rowOff>143435</xdr:rowOff>
    </xdr:to>
    <xdr:graphicFrame macro="">
      <xdr:nvGraphicFramePr>
        <xdr:cNvPr id="54" name="Chart 53">
          <a:extLst>
            <a:ext uri="{FF2B5EF4-FFF2-40B4-BE49-F238E27FC236}">
              <a16:creationId xmlns:a16="http://schemas.microsoft.com/office/drawing/2014/main" xmlns="" id="{6E3E86B5-BE78-44D8-89F8-8162083E0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17</xdr:col>
      <xdr:colOff>152400</xdr:colOff>
      <xdr:row>144</xdr:row>
      <xdr:rowOff>76199</xdr:rowOff>
    </xdr:from>
    <xdr:to>
      <xdr:col>24</xdr:col>
      <xdr:colOff>0</xdr:colOff>
      <xdr:row>170</xdr:row>
      <xdr:rowOff>72451</xdr:rowOff>
    </xdr:to>
    <xdr:graphicFrame macro="">
      <xdr:nvGraphicFramePr>
        <xdr:cNvPr id="55" name="Chart 54">
          <a:extLst>
            <a:ext uri="{FF2B5EF4-FFF2-40B4-BE49-F238E27FC236}">
              <a16:creationId xmlns:a16="http://schemas.microsoft.com/office/drawing/2014/main" xmlns="" id="{26F9AE82-0E65-4EF8-B512-9EA11CE3E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53340</xdr:colOff>
      <xdr:row>75</xdr:row>
      <xdr:rowOff>53340</xdr:rowOff>
    </xdr:from>
    <xdr:to>
      <xdr:col>7</xdr:col>
      <xdr:colOff>697412</xdr:colOff>
      <xdr:row>96</xdr:row>
      <xdr:rowOff>34019</xdr:rowOff>
    </xdr:to>
    <xdr:graphicFrame macro="">
      <xdr:nvGraphicFramePr>
        <xdr:cNvPr id="47" name="Chart 46">
          <a:extLst>
            <a:ext uri="{FF2B5EF4-FFF2-40B4-BE49-F238E27FC236}">
              <a16:creationId xmlns:a16="http://schemas.microsoft.com/office/drawing/2014/main" xmlns="" id="{3D0C09F9-68A7-49FE-9FE1-F9D82D9E28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17</xdr:col>
      <xdr:colOff>70216</xdr:colOff>
      <xdr:row>510</xdr:row>
      <xdr:rowOff>114974</xdr:rowOff>
    </xdr:from>
    <xdr:to>
      <xdr:col>23</xdr:col>
      <xdr:colOff>712994</xdr:colOff>
      <xdr:row>533</xdr:row>
      <xdr:rowOff>55206</xdr:rowOff>
    </xdr:to>
    <xdr:graphicFrame macro="">
      <xdr:nvGraphicFramePr>
        <xdr:cNvPr id="48" name="Chart 47">
          <a:extLst>
            <a:ext uri="{FF2B5EF4-FFF2-40B4-BE49-F238E27FC236}">
              <a16:creationId xmlns:a16="http://schemas.microsoft.com/office/drawing/2014/main" xmlns="" id="{41904151-9AC4-48A3-9A4E-BCDAC9552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17</xdr:col>
      <xdr:colOff>62007</xdr:colOff>
      <xdr:row>113</xdr:row>
      <xdr:rowOff>35710</xdr:rowOff>
    </xdr:from>
    <xdr:to>
      <xdr:col>23</xdr:col>
      <xdr:colOff>704785</xdr:colOff>
      <xdr:row>134</xdr:row>
      <xdr:rowOff>178787</xdr:rowOff>
    </xdr:to>
    <xdr:graphicFrame macro="">
      <xdr:nvGraphicFramePr>
        <xdr:cNvPr id="49" name="Chart 48">
          <a:extLst>
            <a:ext uri="{FF2B5EF4-FFF2-40B4-BE49-F238E27FC236}">
              <a16:creationId xmlns:a16="http://schemas.microsoft.com/office/drawing/2014/main" xmlns="" id="{F9BD1F90-5A1E-4664-9654-B43F142FD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17</xdr:col>
      <xdr:colOff>61232</xdr:colOff>
      <xdr:row>269</xdr:row>
      <xdr:rowOff>0</xdr:rowOff>
    </xdr:from>
    <xdr:to>
      <xdr:col>24</xdr:col>
      <xdr:colOff>88446</xdr:colOff>
      <xdr:row>269</xdr:row>
      <xdr:rowOff>0</xdr:rowOff>
    </xdr:to>
    <xdr:graphicFrame macro="">
      <xdr:nvGraphicFramePr>
        <xdr:cNvPr id="58" name="Chart 57">
          <a:extLst>
            <a:ext uri="{FF2B5EF4-FFF2-40B4-BE49-F238E27FC236}">
              <a16:creationId xmlns:a16="http://schemas.microsoft.com/office/drawing/2014/main" xmlns="" id="{14D891E7-EABE-4413-B29D-698616CCE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34</xdr:col>
      <xdr:colOff>1</xdr:colOff>
      <xdr:row>20</xdr:row>
      <xdr:rowOff>0</xdr:rowOff>
    </xdr:from>
    <xdr:to>
      <xdr:col>46</xdr:col>
      <xdr:colOff>500062</xdr:colOff>
      <xdr:row>53</xdr:row>
      <xdr:rowOff>107156</xdr:rowOff>
    </xdr:to>
    <xdr:graphicFrame macro="">
      <xdr:nvGraphicFramePr>
        <xdr:cNvPr id="65" name="Chart 64">
          <a:extLst>
            <a:ext uri="{FF2B5EF4-FFF2-40B4-BE49-F238E27FC236}">
              <a16:creationId xmlns:a16="http://schemas.microsoft.com/office/drawing/2014/main" xmlns="" id="{6C866D30-1DE1-45AE-9FEF-EFC6DC40F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34</xdr:col>
      <xdr:colOff>0</xdr:colOff>
      <xdr:row>67</xdr:row>
      <xdr:rowOff>0</xdr:rowOff>
    </xdr:from>
    <xdr:to>
      <xdr:col>44</xdr:col>
      <xdr:colOff>666751</xdr:colOff>
      <xdr:row>98</xdr:row>
      <xdr:rowOff>166688</xdr:rowOff>
    </xdr:to>
    <xdr:graphicFrame macro="">
      <xdr:nvGraphicFramePr>
        <xdr:cNvPr id="67" name="Chart 66">
          <a:extLst>
            <a:ext uri="{FF2B5EF4-FFF2-40B4-BE49-F238E27FC236}">
              <a16:creationId xmlns:a16="http://schemas.microsoft.com/office/drawing/2014/main" xmlns="" id="{8B5724CC-ADEF-4300-8057-227B23ED2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34</xdr:col>
      <xdr:colOff>0</xdr:colOff>
      <xdr:row>112</xdr:row>
      <xdr:rowOff>0</xdr:rowOff>
    </xdr:from>
    <xdr:to>
      <xdr:col>44</xdr:col>
      <xdr:colOff>714376</xdr:colOff>
      <xdr:row>143</xdr:row>
      <xdr:rowOff>171450</xdr:rowOff>
    </xdr:to>
    <xdr:graphicFrame macro="">
      <xdr:nvGraphicFramePr>
        <xdr:cNvPr id="69" name="Chart 68">
          <a:extLst>
            <a:ext uri="{FF2B5EF4-FFF2-40B4-BE49-F238E27FC236}">
              <a16:creationId xmlns:a16="http://schemas.microsoft.com/office/drawing/2014/main" xmlns="" id="{96617327-678D-41F1-863B-76ECBF468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34</xdr:col>
      <xdr:colOff>0</xdr:colOff>
      <xdr:row>158</xdr:row>
      <xdr:rowOff>0</xdr:rowOff>
    </xdr:from>
    <xdr:to>
      <xdr:col>44</xdr:col>
      <xdr:colOff>714376</xdr:colOff>
      <xdr:row>189</xdr:row>
      <xdr:rowOff>171450</xdr:rowOff>
    </xdr:to>
    <xdr:graphicFrame macro="">
      <xdr:nvGraphicFramePr>
        <xdr:cNvPr id="72" name="Chart 71">
          <a:extLst>
            <a:ext uri="{FF2B5EF4-FFF2-40B4-BE49-F238E27FC236}">
              <a16:creationId xmlns:a16="http://schemas.microsoft.com/office/drawing/2014/main" xmlns="" id="{EFDBF467-0FF2-45A1-BC09-0359CA54A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34</xdr:col>
      <xdr:colOff>0</xdr:colOff>
      <xdr:row>205</xdr:row>
      <xdr:rowOff>0</xdr:rowOff>
    </xdr:from>
    <xdr:to>
      <xdr:col>44</xdr:col>
      <xdr:colOff>714376</xdr:colOff>
      <xdr:row>238</xdr:row>
      <xdr:rowOff>171450</xdr:rowOff>
    </xdr:to>
    <xdr:graphicFrame macro="">
      <xdr:nvGraphicFramePr>
        <xdr:cNvPr id="59" name="Chart 58">
          <a:extLst>
            <a:ext uri="{FF2B5EF4-FFF2-40B4-BE49-F238E27FC236}">
              <a16:creationId xmlns:a16="http://schemas.microsoft.com/office/drawing/2014/main" xmlns="" id="{6E299B7A-8145-4CDE-9B86-F7F9917F8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34</xdr:col>
      <xdr:colOff>0</xdr:colOff>
      <xdr:row>249</xdr:row>
      <xdr:rowOff>0</xdr:rowOff>
    </xdr:from>
    <xdr:to>
      <xdr:col>44</xdr:col>
      <xdr:colOff>666751</xdr:colOff>
      <xdr:row>280</xdr:row>
      <xdr:rowOff>166688</xdr:rowOff>
    </xdr:to>
    <xdr:graphicFrame macro="">
      <xdr:nvGraphicFramePr>
        <xdr:cNvPr id="66" name="Chart 65">
          <a:extLst>
            <a:ext uri="{FF2B5EF4-FFF2-40B4-BE49-F238E27FC236}">
              <a16:creationId xmlns:a16="http://schemas.microsoft.com/office/drawing/2014/main" xmlns="" id="{2B5E917A-6FDA-441E-911E-3BAD94702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52842</xdr:colOff>
      <xdr:row>46</xdr:row>
      <xdr:rowOff>54881</xdr:rowOff>
    </xdr:from>
    <xdr:to>
      <xdr:col>7</xdr:col>
      <xdr:colOff>696914</xdr:colOff>
      <xdr:row>67</xdr:row>
      <xdr:rowOff>62706</xdr:rowOff>
    </xdr:to>
    <xdr:graphicFrame macro="">
      <xdr:nvGraphicFramePr>
        <xdr:cNvPr id="41" name="Chart 40">
          <a:extLst>
            <a:ext uri="{FF2B5EF4-FFF2-40B4-BE49-F238E27FC236}">
              <a16:creationId xmlns:a16="http://schemas.microsoft.com/office/drawing/2014/main" xmlns="" id="{FF840CAE-52E8-4399-BA18-6FE218FEF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25</xdr:col>
      <xdr:colOff>-1</xdr:colOff>
      <xdr:row>51</xdr:row>
      <xdr:rowOff>89506</xdr:rowOff>
    </xdr:from>
    <xdr:to>
      <xdr:col>32</xdr:col>
      <xdr:colOff>250370</xdr:colOff>
      <xdr:row>75</xdr:row>
      <xdr:rowOff>0</xdr:rowOff>
    </xdr:to>
    <xdr:graphicFrame macro="">
      <xdr:nvGraphicFramePr>
        <xdr:cNvPr id="44" name="Chart 43">
          <a:extLst>
            <a:ext uri="{FF2B5EF4-FFF2-40B4-BE49-F238E27FC236}">
              <a16:creationId xmlns:a16="http://schemas.microsoft.com/office/drawing/2014/main" xmlns="" id="{78526E41-0600-43CB-881F-7B29DD586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24</xdr:col>
      <xdr:colOff>733424</xdr:colOff>
      <xdr:row>87</xdr:row>
      <xdr:rowOff>51406</xdr:rowOff>
    </xdr:from>
    <xdr:to>
      <xdr:col>32</xdr:col>
      <xdr:colOff>202745</xdr:colOff>
      <xdr:row>110</xdr:row>
      <xdr:rowOff>161925</xdr:rowOff>
    </xdr:to>
    <xdr:graphicFrame macro="">
      <xdr:nvGraphicFramePr>
        <xdr:cNvPr id="43" name="Chart 42">
          <a:extLst>
            <a:ext uri="{FF2B5EF4-FFF2-40B4-BE49-F238E27FC236}">
              <a16:creationId xmlns:a16="http://schemas.microsoft.com/office/drawing/2014/main" xmlns="" id="{CC485B8A-340B-48C0-A217-B33218CE0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arcgis.dnr.state.mn.us/ewr/whaf2/"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X66"/>
  <sheetViews>
    <sheetView tabSelected="1" workbookViewId="0">
      <selection activeCell="C66" sqref="C66"/>
    </sheetView>
  </sheetViews>
  <sheetFormatPr defaultRowHeight="14.4" x14ac:dyDescent="0.3"/>
  <cols>
    <col min="1" max="1" width="9.5546875" customWidth="1"/>
    <col min="2" max="2" width="20.44140625" customWidth="1"/>
    <col min="3" max="3" width="11.33203125" customWidth="1"/>
    <col min="4" max="4" width="16.109375" customWidth="1"/>
    <col min="6" max="6" width="5.33203125" customWidth="1"/>
    <col min="9" max="11" width="13.6640625" customWidth="1"/>
    <col min="12" max="12" width="10.109375" customWidth="1"/>
    <col min="13" max="13" width="6.44140625" customWidth="1"/>
  </cols>
  <sheetData>
    <row r="3" spans="1:24" ht="17.399999999999999" x14ac:dyDescent="0.35">
      <c r="A3" s="9" t="s">
        <v>68</v>
      </c>
    </row>
    <row r="4" spans="1:24" x14ac:dyDescent="0.3">
      <c r="B4" t="s">
        <v>69</v>
      </c>
      <c r="N4" t="s">
        <v>90</v>
      </c>
    </row>
    <row r="5" spans="1:24" x14ac:dyDescent="0.3">
      <c r="B5" s="167" t="s">
        <v>147</v>
      </c>
      <c r="N5" s="422"/>
      <c r="O5" s="422"/>
      <c r="P5" s="422"/>
      <c r="Q5" s="422"/>
      <c r="R5" s="422"/>
      <c r="S5" s="422"/>
      <c r="T5" s="422"/>
      <c r="U5" s="422"/>
      <c r="V5" s="422"/>
      <c r="W5" s="422"/>
      <c r="X5" s="422"/>
    </row>
    <row r="6" spans="1:24" ht="15" thickBot="1" x14ac:dyDescent="0.35">
      <c r="N6" s="422"/>
      <c r="O6" s="422"/>
      <c r="P6" s="422"/>
      <c r="Q6" s="422"/>
      <c r="R6" s="422"/>
      <c r="S6" s="422"/>
      <c r="T6" s="422"/>
      <c r="U6" s="422"/>
      <c r="V6" s="422"/>
      <c r="W6" s="422"/>
      <c r="X6" s="422"/>
    </row>
    <row r="7" spans="1:24" x14ac:dyDescent="0.3">
      <c r="A7" s="416" t="s">
        <v>148</v>
      </c>
      <c r="B7" s="417"/>
      <c r="C7" s="417"/>
      <c r="D7" s="417"/>
      <c r="E7" s="418"/>
      <c r="G7" s="416" t="s">
        <v>174</v>
      </c>
      <c r="H7" s="417"/>
      <c r="I7" s="417"/>
      <c r="J7" s="417"/>
      <c r="K7" s="417"/>
      <c r="L7" s="418"/>
      <c r="N7" s="422"/>
      <c r="O7" s="422"/>
      <c r="P7" s="422"/>
      <c r="Q7" s="422"/>
      <c r="R7" s="422"/>
      <c r="S7" s="422"/>
      <c r="T7" s="422"/>
      <c r="U7" s="422"/>
      <c r="V7" s="422"/>
      <c r="W7" s="422"/>
      <c r="X7" s="422"/>
    </row>
    <row r="8" spans="1:24" ht="14.4" customHeight="1" thickBot="1" x14ac:dyDescent="0.35">
      <c r="A8" s="419"/>
      <c r="B8" s="420"/>
      <c r="C8" s="420"/>
      <c r="D8" s="420"/>
      <c r="E8" s="421"/>
      <c r="G8" s="419"/>
      <c r="H8" s="420"/>
      <c r="I8" s="420"/>
      <c r="J8" s="420"/>
      <c r="K8" s="420"/>
      <c r="L8" s="421"/>
      <c r="N8" s="422"/>
      <c r="O8" s="422"/>
      <c r="P8" s="422"/>
      <c r="Q8" s="422"/>
      <c r="R8" s="422"/>
      <c r="S8" s="422"/>
      <c r="T8" s="422"/>
      <c r="U8" s="422"/>
      <c r="V8" s="422"/>
      <c r="W8" s="422"/>
      <c r="X8" s="422"/>
    </row>
    <row r="9" spans="1:24" ht="15" customHeight="1" x14ac:dyDescent="0.3">
      <c r="A9" s="156" t="s">
        <v>91</v>
      </c>
      <c r="B9" s="431"/>
      <c r="C9" s="431"/>
      <c r="D9" s="431"/>
      <c r="E9" s="432"/>
      <c r="G9" s="21"/>
      <c r="L9" s="37"/>
      <c r="N9" s="422"/>
      <c r="O9" s="422"/>
      <c r="P9" s="422"/>
      <c r="Q9" s="422"/>
      <c r="R9" s="422"/>
      <c r="S9" s="422"/>
      <c r="T9" s="422"/>
      <c r="U9" s="422"/>
      <c r="V9" s="422"/>
      <c r="W9" s="422"/>
      <c r="X9" s="422"/>
    </row>
    <row r="10" spans="1:24" x14ac:dyDescent="0.3">
      <c r="A10" s="21"/>
      <c r="E10" s="37"/>
      <c r="G10" s="21"/>
      <c r="L10" s="37"/>
      <c r="N10" s="422"/>
      <c r="O10" s="422"/>
      <c r="P10" s="422"/>
      <c r="Q10" s="422"/>
      <c r="R10" s="422"/>
      <c r="S10" s="422"/>
      <c r="T10" s="422"/>
      <c r="U10" s="422"/>
      <c r="V10" s="422"/>
      <c r="W10" s="422"/>
      <c r="X10" s="422"/>
    </row>
    <row r="11" spans="1:24" x14ac:dyDescent="0.3">
      <c r="A11" s="21"/>
      <c r="E11" s="37"/>
      <c r="G11" s="21"/>
      <c r="L11" s="37"/>
      <c r="N11" s="422"/>
      <c r="O11" s="422"/>
      <c r="P11" s="422"/>
      <c r="Q11" s="422"/>
      <c r="R11" s="422"/>
      <c r="S11" s="422"/>
      <c r="T11" s="422"/>
      <c r="U11" s="422"/>
      <c r="V11" s="422"/>
      <c r="W11" s="422"/>
      <c r="X11" s="422"/>
    </row>
    <row r="12" spans="1:24" x14ac:dyDescent="0.3">
      <c r="A12" s="21"/>
      <c r="E12" s="37"/>
      <c r="G12" s="21"/>
      <c r="L12" s="37"/>
      <c r="N12" s="422"/>
      <c r="O12" s="422"/>
      <c r="P12" s="422"/>
      <c r="Q12" s="422"/>
      <c r="R12" s="422"/>
      <c r="S12" s="422"/>
      <c r="T12" s="422"/>
      <c r="U12" s="422"/>
      <c r="V12" s="422"/>
      <c r="W12" s="422"/>
      <c r="X12" s="422"/>
    </row>
    <row r="13" spans="1:24" x14ac:dyDescent="0.3">
      <c r="A13" s="21"/>
      <c r="E13" s="37"/>
      <c r="G13" s="21"/>
      <c r="L13" s="37"/>
      <c r="N13" s="422"/>
      <c r="O13" s="422"/>
      <c r="P13" s="422"/>
      <c r="Q13" s="422"/>
      <c r="R13" s="422"/>
      <c r="S13" s="422"/>
      <c r="T13" s="422"/>
      <c r="U13" s="422"/>
      <c r="V13" s="422"/>
      <c r="W13" s="422"/>
      <c r="X13" s="422"/>
    </row>
    <row r="14" spans="1:24" x14ac:dyDescent="0.3">
      <c r="A14" s="21"/>
      <c r="E14" s="37"/>
      <c r="G14" s="21"/>
      <c r="L14" s="37"/>
      <c r="N14" s="422"/>
      <c r="O14" s="422"/>
      <c r="P14" s="422"/>
      <c r="Q14" s="422"/>
      <c r="R14" s="422"/>
      <c r="S14" s="422"/>
      <c r="T14" s="422"/>
      <c r="U14" s="422"/>
      <c r="V14" s="422"/>
      <c r="W14" s="422"/>
      <c r="X14" s="422"/>
    </row>
    <row r="15" spans="1:24" x14ac:dyDescent="0.3">
      <c r="A15" s="21"/>
      <c r="E15" s="37"/>
      <c r="G15" s="21"/>
      <c r="L15" s="37"/>
      <c r="N15" s="422"/>
      <c r="O15" s="422"/>
      <c r="P15" s="422"/>
      <c r="Q15" s="422"/>
      <c r="R15" s="422"/>
      <c r="S15" s="422"/>
      <c r="T15" s="422"/>
      <c r="U15" s="422"/>
      <c r="V15" s="422"/>
      <c r="W15" s="422"/>
      <c r="X15" s="422"/>
    </row>
    <row r="16" spans="1:24" x14ac:dyDescent="0.3">
      <c r="A16" s="21"/>
      <c r="E16" s="37"/>
      <c r="G16" s="21"/>
      <c r="L16" s="37"/>
      <c r="N16" s="422"/>
      <c r="O16" s="422"/>
      <c r="P16" s="422"/>
      <c r="Q16" s="422"/>
      <c r="R16" s="422"/>
      <c r="S16" s="422"/>
      <c r="T16" s="422"/>
      <c r="U16" s="422"/>
      <c r="V16" s="422"/>
      <c r="W16" s="422"/>
      <c r="X16" s="422"/>
    </row>
    <row r="17" spans="1:24" x14ac:dyDescent="0.3">
      <c r="A17" s="21"/>
      <c r="E17" s="37"/>
      <c r="G17" s="21"/>
      <c r="L17" s="37"/>
      <c r="N17" s="422"/>
      <c r="O17" s="422"/>
      <c r="P17" s="422"/>
      <c r="Q17" s="422"/>
      <c r="R17" s="422"/>
      <c r="S17" s="422"/>
      <c r="T17" s="422"/>
      <c r="U17" s="422"/>
      <c r="V17" s="422"/>
      <c r="W17" s="422"/>
      <c r="X17" s="422"/>
    </row>
    <row r="18" spans="1:24" x14ac:dyDescent="0.3">
      <c r="G18" s="21"/>
      <c r="L18" s="37"/>
      <c r="N18" s="422"/>
      <c r="O18" s="422"/>
      <c r="P18" s="422"/>
      <c r="Q18" s="422"/>
      <c r="R18" s="422"/>
      <c r="S18" s="422"/>
      <c r="T18" s="422"/>
      <c r="U18" s="422"/>
      <c r="V18" s="422"/>
      <c r="W18" s="422"/>
      <c r="X18" s="422"/>
    </row>
    <row r="19" spans="1:24" x14ac:dyDescent="0.3">
      <c r="A19" s="156" t="s">
        <v>175</v>
      </c>
      <c r="B19" s="423"/>
      <c r="C19" s="423"/>
      <c r="D19" s="423"/>
      <c r="E19" s="424"/>
      <c r="G19" s="21"/>
      <c r="L19" s="37"/>
      <c r="N19" s="422"/>
      <c r="O19" s="422"/>
      <c r="P19" s="422"/>
      <c r="Q19" s="422"/>
      <c r="R19" s="422"/>
      <c r="S19" s="422"/>
      <c r="T19" s="422"/>
      <c r="U19" s="422"/>
      <c r="V19" s="422"/>
      <c r="W19" s="422"/>
      <c r="X19" s="422"/>
    </row>
    <row r="20" spans="1:24" x14ac:dyDescent="0.3">
      <c r="A20" s="156" t="s">
        <v>176</v>
      </c>
      <c r="B20" s="433"/>
      <c r="C20" s="434"/>
      <c r="D20" s="434"/>
      <c r="E20" s="435"/>
      <c r="G20" s="21"/>
      <c r="L20" s="37"/>
      <c r="N20" s="422"/>
      <c r="O20" s="422"/>
      <c r="P20" s="422"/>
      <c r="Q20" s="422"/>
      <c r="R20" s="422"/>
      <c r="S20" s="422"/>
      <c r="T20" s="422"/>
      <c r="U20" s="422"/>
      <c r="V20" s="422"/>
      <c r="W20" s="422"/>
      <c r="X20" s="422"/>
    </row>
    <row r="21" spans="1:24" ht="15.6" x14ac:dyDescent="0.3">
      <c r="A21" s="425" t="s">
        <v>143</v>
      </c>
      <c r="B21" s="426"/>
      <c r="C21" s="427"/>
      <c r="D21" s="45"/>
      <c r="E21" s="37"/>
      <c r="G21" s="21"/>
      <c r="L21" s="37"/>
      <c r="N21" s="422"/>
      <c r="O21" s="422"/>
      <c r="P21" s="422"/>
      <c r="Q21" s="422"/>
      <c r="R21" s="422"/>
      <c r="S21" s="422"/>
      <c r="T21" s="422"/>
      <c r="U21" s="422"/>
      <c r="V21" s="422"/>
      <c r="W21" s="422"/>
      <c r="X21" s="422"/>
    </row>
    <row r="22" spans="1:24" ht="14.4" customHeight="1" x14ac:dyDescent="0.3">
      <c r="A22" s="428" t="s">
        <v>384</v>
      </c>
      <c r="B22" s="429"/>
      <c r="C22" s="429"/>
      <c r="D22" s="429"/>
      <c r="E22" s="430"/>
      <c r="G22" s="21"/>
      <c r="L22" s="37"/>
      <c r="N22" s="422"/>
      <c r="O22" s="422"/>
      <c r="P22" s="422"/>
      <c r="Q22" s="422"/>
      <c r="R22" s="422"/>
      <c r="S22" s="422"/>
      <c r="T22" s="422"/>
      <c r="U22" s="422"/>
      <c r="V22" s="422"/>
      <c r="W22" s="422"/>
      <c r="X22" s="422"/>
    </row>
    <row r="23" spans="1:24" ht="14.4" customHeight="1" x14ac:dyDescent="0.3">
      <c r="A23" s="428"/>
      <c r="B23" s="429"/>
      <c r="C23" s="429"/>
      <c r="D23" s="429"/>
      <c r="E23" s="430"/>
      <c r="G23" s="21"/>
      <c r="L23" s="37"/>
      <c r="N23" s="422"/>
      <c r="O23" s="422"/>
      <c r="P23" s="422"/>
      <c r="Q23" s="422"/>
      <c r="R23" s="422"/>
      <c r="S23" s="422"/>
      <c r="T23" s="422"/>
      <c r="U23" s="422"/>
      <c r="V23" s="422"/>
      <c r="W23" s="422"/>
      <c r="X23" s="422"/>
    </row>
    <row r="24" spans="1:24" ht="15" customHeight="1" x14ac:dyDescent="0.3">
      <c r="A24" s="428"/>
      <c r="B24" s="429"/>
      <c r="C24" s="429"/>
      <c r="D24" s="429"/>
      <c r="E24" s="430"/>
      <c r="G24" s="21"/>
      <c r="L24" s="37"/>
      <c r="N24" s="422"/>
      <c r="O24" s="422"/>
      <c r="P24" s="422"/>
      <c r="Q24" s="422"/>
      <c r="R24" s="422"/>
      <c r="S24" s="422"/>
      <c r="T24" s="422"/>
      <c r="U24" s="422"/>
      <c r="V24" s="422"/>
      <c r="W24" s="422"/>
      <c r="X24" s="422"/>
    </row>
    <row r="25" spans="1:24" x14ac:dyDescent="0.3">
      <c r="A25" s="428"/>
      <c r="B25" s="429"/>
      <c r="C25" s="429"/>
      <c r="D25" s="429"/>
      <c r="E25" s="430"/>
      <c r="G25" s="21"/>
      <c r="L25" s="37"/>
      <c r="N25" s="422"/>
      <c r="O25" s="422"/>
      <c r="P25" s="422"/>
      <c r="Q25" s="422"/>
      <c r="R25" s="422"/>
      <c r="S25" s="422"/>
      <c r="T25" s="422"/>
      <c r="U25" s="422"/>
      <c r="V25" s="422"/>
      <c r="W25" s="422"/>
      <c r="X25" s="422"/>
    </row>
    <row r="26" spans="1:24" x14ac:dyDescent="0.3">
      <c r="A26" s="428"/>
      <c r="B26" s="429"/>
      <c r="C26" s="429"/>
      <c r="D26" s="429"/>
      <c r="E26" s="430"/>
      <c r="G26" s="21"/>
      <c r="L26" s="37"/>
      <c r="N26" s="422"/>
      <c r="O26" s="422"/>
      <c r="P26" s="422"/>
      <c r="Q26" s="422"/>
      <c r="R26" s="422"/>
      <c r="S26" s="422"/>
      <c r="T26" s="422"/>
      <c r="U26" s="422"/>
      <c r="V26" s="422"/>
      <c r="W26" s="422"/>
      <c r="X26" s="422"/>
    </row>
    <row r="27" spans="1:24" x14ac:dyDescent="0.3">
      <c r="A27" s="21"/>
      <c r="E27" s="37"/>
      <c r="G27" s="21"/>
      <c r="L27" s="37"/>
      <c r="N27" s="422"/>
      <c r="O27" s="422"/>
      <c r="P27" s="422"/>
      <c r="Q27" s="422"/>
      <c r="R27" s="422"/>
      <c r="S27" s="422"/>
      <c r="T27" s="422"/>
      <c r="U27" s="422"/>
      <c r="V27" s="422"/>
      <c r="W27" s="422"/>
      <c r="X27" s="422"/>
    </row>
    <row r="28" spans="1:24" x14ac:dyDescent="0.3">
      <c r="A28" s="21"/>
      <c r="E28" s="37"/>
      <c r="G28" s="21"/>
      <c r="L28" s="37"/>
      <c r="N28" s="422"/>
      <c r="O28" s="422"/>
      <c r="P28" s="422"/>
      <c r="Q28" s="422"/>
      <c r="R28" s="422"/>
      <c r="S28" s="422"/>
      <c r="T28" s="422"/>
      <c r="U28" s="422"/>
      <c r="V28" s="422"/>
      <c r="W28" s="422"/>
      <c r="X28" s="422"/>
    </row>
    <row r="29" spans="1:24" x14ac:dyDescent="0.3">
      <c r="A29" s="21"/>
      <c r="E29" s="37"/>
      <c r="G29" s="21"/>
      <c r="L29" s="37"/>
      <c r="N29" s="422"/>
      <c r="O29" s="422"/>
      <c r="P29" s="422"/>
      <c r="Q29" s="422"/>
      <c r="R29" s="422"/>
      <c r="S29" s="422"/>
      <c r="T29" s="422"/>
      <c r="U29" s="422"/>
      <c r="V29" s="422"/>
      <c r="W29" s="422"/>
      <c r="X29" s="422"/>
    </row>
    <row r="30" spans="1:24" x14ac:dyDescent="0.3">
      <c r="A30" s="21"/>
      <c r="E30" s="37"/>
      <c r="G30" s="21"/>
      <c r="L30" s="37"/>
      <c r="N30" s="422"/>
      <c r="O30" s="422"/>
      <c r="P30" s="422"/>
      <c r="Q30" s="422"/>
      <c r="R30" s="422"/>
      <c r="S30" s="422"/>
      <c r="T30" s="422"/>
      <c r="U30" s="422"/>
      <c r="V30" s="422"/>
      <c r="W30" s="422"/>
      <c r="X30" s="422"/>
    </row>
    <row r="31" spans="1:24" x14ac:dyDescent="0.3">
      <c r="A31" s="21"/>
      <c r="E31" s="37"/>
      <c r="G31" s="21"/>
      <c r="L31" s="37"/>
      <c r="N31" s="422"/>
      <c r="O31" s="422"/>
      <c r="P31" s="422"/>
      <c r="Q31" s="422"/>
      <c r="R31" s="422"/>
      <c r="S31" s="422"/>
      <c r="T31" s="422"/>
      <c r="U31" s="422"/>
      <c r="V31" s="422"/>
      <c r="W31" s="422"/>
      <c r="X31" s="422"/>
    </row>
    <row r="32" spans="1:24" x14ac:dyDescent="0.3">
      <c r="A32" s="21"/>
      <c r="E32" s="37"/>
      <c r="G32" s="21"/>
      <c r="L32" s="37"/>
      <c r="N32" s="422"/>
      <c r="O32" s="422"/>
      <c r="P32" s="422"/>
      <c r="Q32" s="422"/>
      <c r="R32" s="422"/>
      <c r="S32" s="422"/>
      <c r="T32" s="422"/>
      <c r="U32" s="422"/>
      <c r="V32" s="422"/>
      <c r="W32" s="422"/>
      <c r="X32" s="422"/>
    </row>
    <row r="33" spans="1:24" x14ac:dyDescent="0.3">
      <c r="A33" s="21"/>
      <c r="E33" s="37"/>
      <c r="G33" s="21"/>
      <c r="L33" s="37"/>
      <c r="N33" s="422"/>
      <c r="O33" s="422"/>
      <c r="P33" s="422"/>
      <c r="Q33" s="422"/>
      <c r="R33" s="422"/>
      <c r="S33" s="422"/>
      <c r="T33" s="422"/>
      <c r="U33" s="422"/>
      <c r="V33" s="422"/>
      <c r="W33" s="422"/>
      <c r="X33" s="422"/>
    </row>
    <row r="34" spans="1:24" x14ac:dyDescent="0.3">
      <c r="A34" s="21"/>
      <c r="E34" s="37"/>
      <c r="G34" s="21"/>
      <c r="L34" s="37"/>
      <c r="N34" s="422"/>
      <c r="O34" s="422"/>
      <c r="P34" s="422"/>
      <c r="Q34" s="422"/>
      <c r="R34" s="422"/>
      <c r="S34" s="422"/>
      <c r="T34" s="422"/>
      <c r="U34" s="422"/>
      <c r="V34" s="422"/>
      <c r="W34" s="422"/>
      <c r="X34" s="422"/>
    </row>
    <row r="35" spans="1:24" ht="15" thickBot="1" x14ac:dyDescent="0.35">
      <c r="A35" s="38"/>
      <c r="B35" s="39"/>
      <c r="C35" s="39"/>
      <c r="D35" s="39"/>
      <c r="E35" s="40"/>
      <c r="G35" s="38"/>
      <c r="H35" s="39"/>
      <c r="I35" s="39"/>
      <c r="J35" s="39"/>
      <c r="K35" s="39"/>
      <c r="L35" s="40"/>
      <c r="N35" s="422"/>
      <c r="O35" s="422"/>
      <c r="P35" s="422"/>
      <c r="Q35" s="422"/>
      <c r="R35" s="422"/>
      <c r="S35" s="422"/>
      <c r="T35" s="422"/>
      <c r="U35" s="422"/>
      <c r="V35" s="422"/>
      <c r="W35" s="422"/>
      <c r="X35" s="422"/>
    </row>
    <row r="36" spans="1:24" x14ac:dyDescent="0.3">
      <c r="N36" s="422"/>
      <c r="O36" s="422"/>
      <c r="P36" s="422"/>
      <c r="Q36" s="422"/>
      <c r="R36" s="422"/>
      <c r="S36" s="422"/>
      <c r="T36" s="422"/>
      <c r="U36" s="422"/>
      <c r="V36" s="422"/>
      <c r="W36" s="422"/>
      <c r="X36" s="422"/>
    </row>
    <row r="37" spans="1:24" ht="14.4" customHeight="1" x14ac:dyDescent="0.3">
      <c r="G37" s="349"/>
      <c r="H37" s="349"/>
      <c r="I37" s="349"/>
      <c r="J37" s="349"/>
      <c r="K37" s="349"/>
      <c r="L37" s="349"/>
      <c r="N37" s="422"/>
      <c r="O37" s="422"/>
      <c r="P37" s="422"/>
      <c r="Q37" s="422"/>
      <c r="R37" s="422"/>
      <c r="S37" s="422"/>
      <c r="T37" s="422"/>
      <c r="U37" s="422"/>
      <c r="V37" s="422"/>
      <c r="W37" s="422"/>
      <c r="X37" s="422"/>
    </row>
    <row r="38" spans="1:24" ht="15" customHeight="1" x14ac:dyDescent="0.3">
      <c r="G38" s="349"/>
      <c r="H38" s="349"/>
      <c r="I38" s="349"/>
      <c r="J38" s="349"/>
      <c r="K38" s="349"/>
      <c r="L38" s="349"/>
      <c r="N38" s="422"/>
      <c r="O38" s="422"/>
      <c r="P38" s="422"/>
      <c r="Q38" s="422"/>
      <c r="R38" s="422"/>
      <c r="S38" s="422"/>
      <c r="T38" s="422"/>
      <c r="U38" s="422"/>
      <c r="V38" s="422"/>
      <c r="W38" s="422"/>
      <c r="X38" s="422"/>
    </row>
    <row r="39" spans="1:24" x14ac:dyDescent="0.3">
      <c r="G39" s="348"/>
      <c r="H39" s="348"/>
      <c r="I39" s="348"/>
      <c r="J39" s="348"/>
      <c r="K39" s="348"/>
      <c r="L39" s="348"/>
      <c r="N39" s="422"/>
      <c r="O39" s="422"/>
      <c r="P39" s="422"/>
      <c r="Q39" s="422"/>
      <c r="R39" s="422"/>
      <c r="S39" s="422"/>
      <c r="T39" s="422"/>
      <c r="U39" s="422"/>
      <c r="V39" s="422"/>
      <c r="W39" s="422"/>
      <c r="X39" s="422"/>
    </row>
    <row r="40" spans="1:24" x14ac:dyDescent="0.3">
      <c r="G40" s="348"/>
      <c r="H40" s="348"/>
      <c r="I40" s="348"/>
      <c r="J40" s="348"/>
      <c r="K40" s="348"/>
      <c r="L40" s="348"/>
      <c r="N40" s="422"/>
      <c r="O40" s="422"/>
      <c r="P40" s="422"/>
      <c r="Q40" s="422"/>
      <c r="R40" s="422"/>
      <c r="S40" s="422"/>
      <c r="T40" s="422"/>
      <c r="U40" s="422"/>
      <c r="V40" s="422"/>
      <c r="W40" s="422"/>
      <c r="X40" s="422"/>
    </row>
    <row r="41" spans="1:24" x14ac:dyDescent="0.3">
      <c r="G41" s="348"/>
      <c r="H41" s="348"/>
      <c r="I41" s="348"/>
      <c r="J41" s="348"/>
      <c r="K41" s="348"/>
      <c r="L41" s="348"/>
      <c r="N41" s="422"/>
      <c r="O41" s="422"/>
      <c r="P41" s="422"/>
      <c r="Q41" s="422"/>
      <c r="R41" s="422"/>
      <c r="S41" s="422"/>
      <c r="T41" s="422"/>
      <c r="U41" s="422"/>
      <c r="V41" s="422"/>
      <c r="W41" s="422"/>
      <c r="X41" s="422"/>
    </row>
    <row r="42" spans="1:24" x14ac:dyDescent="0.3">
      <c r="G42" s="348"/>
      <c r="H42" s="348"/>
      <c r="I42" s="348"/>
      <c r="J42" s="348"/>
      <c r="K42" s="348"/>
      <c r="L42" s="348"/>
      <c r="N42" s="422"/>
      <c r="O42" s="422"/>
      <c r="P42" s="422"/>
      <c r="Q42" s="422"/>
      <c r="R42" s="422"/>
      <c r="S42" s="422"/>
      <c r="T42" s="422"/>
      <c r="U42" s="422"/>
      <c r="V42" s="422"/>
      <c r="W42" s="422"/>
      <c r="X42" s="422"/>
    </row>
    <row r="43" spans="1:24" x14ac:dyDescent="0.3">
      <c r="G43" s="348"/>
      <c r="H43" s="348"/>
      <c r="I43" s="348"/>
      <c r="J43" s="348"/>
      <c r="K43" s="348"/>
      <c r="L43" s="348"/>
      <c r="N43" s="422"/>
      <c r="O43" s="422"/>
      <c r="P43" s="422"/>
      <c r="Q43" s="422"/>
      <c r="R43" s="422"/>
      <c r="S43" s="422"/>
      <c r="T43" s="422"/>
      <c r="U43" s="422"/>
      <c r="V43" s="422"/>
      <c r="W43" s="422"/>
      <c r="X43" s="422"/>
    </row>
    <row r="44" spans="1:24" x14ac:dyDescent="0.3">
      <c r="G44" s="348"/>
      <c r="H44" s="348"/>
      <c r="I44" s="348"/>
      <c r="J44" s="348"/>
      <c r="K44" s="348"/>
      <c r="L44" s="348"/>
      <c r="N44" s="422"/>
      <c r="O44" s="422"/>
      <c r="P44" s="422"/>
      <c r="Q44" s="422"/>
      <c r="R44" s="422"/>
      <c r="S44" s="422"/>
      <c r="T44" s="422"/>
      <c r="U44" s="422"/>
      <c r="V44" s="422"/>
      <c r="W44" s="422"/>
      <c r="X44" s="422"/>
    </row>
    <row r="45" spans="1:24" x14ac:dyDescent="0.3">
      <c r="G45" s="348"/>
      <c r="H45" s="348"/>
      <c r="I45" s="348"/>
      <c r="J45" s="348"/>
      <c r="K45" s="348"/>
      <c r="L45" s="348"/>
      <c r="N45" s="422"/>
      <c r="O45" s="422"/>
      <c r="P45" s="422"/>
      <c r="Q45" s="422"/>
      <c r="R45" s="422"/>
      <c r="S45" s="422"/>
      <c r="T45" s="422"/>
      <c r="U45" s="422"/>
      <c r="V45" s="422"/>
      <c r="W45" s="422"/>
      <c r="X45" s="422"/>
    </row>
    <row r="46" spans="1:24" x14ac:dyDescent="0.3">
      <c r="G46" s="348"/>
      <c r="H46" s="348"/>
      <c r="I46" s="348"/>
      <c r="J46" s="348"/>
      <c r="K46" s="348"/>
      <c r="L46" s="348"/>
      <c r="N46" s="422"/>
      <c r="O46" s="422"/>
      <c r="P46" s="422"/>
      <c r="Q46" s="422"/>
      <c r="R46" s="422"/>
      <c r="S46" s="422"/>
      <c r="T46" s="422"/>
      <c r="U46" s="422"/>
      <c r="V46" s="422"/>
      <c r="W46" s="422"/>
      <c r="X46" s="422"/>
    </row>
    <row r="47" spans="1:24" x14ac:dyDescent="0.3">
      <c r="G47" s="348"/>
      <c r="H47" s="348"/>
      <c r="I47" s="348"/>
      <c r="J47" s="348"/>
      <c r="K47" s="348"/>
      <c r="L47" s="348"/>
      <c r="N47" s="422"/>
      <c r="O47" s="422"/>
      <c r="P47" s="422"/>
      <c r="Q47" s="422"/>
      <c r="R47" s="422"/>
      <c r="S47" s="422"/>
      <c r="T47" s="422"/>
      <c r="U47" s="422"/>
      <c r="V47" s="422"/>
      <c r="W47" s="422"/>
      <c r="X47" s="422"/>
    </row>
    <row r="48" spans="1:24" x14ac:dyDescent="0.3">
      <c r="N48" s="422"/>
      <c r="O48" s="422"/>
      <c r="P48" s="422"/>
      <c r="Q48" s="422"/>
      <c r="R48" s="422"/>
      <c r="S48" s="422"/>
      <c r="T48" s="422"/>
      <c r="U48" s="422"/>
      <c r="V48" s="422"/>
      <c r="W48" s="422"/>
      <c r="X48" s="422"/>
    </row>
    <row r="49" spans="1:24" x14ac:dyDescent="0.3">
      <c r="N49" s="422"/>
      <c r="O49" s="422"/>
      <c r="P49" s="422"/>
      <c r="Q49" s="422"/>
      <c r="R49" s="422"/>
      <c r="S49" s="422"/>
      <c r="T49" s="422"/>
      <c r="U49" s="422"/>
      <c r="V49" s="422"/>
      <c r="W49" s="422"/>
      <c r="X49" s="422"/>
    </row>
    <row r="50" spans="1:24" x14ac:dyDescent="0.3">
      <c r="N50" s="422"/>
      <c r="O50" s="422"/>
      <c r="P50" s="422"/>
      <c r="Q50" s="422"/>
      <c r="R50" s="422"/>
      <c r="S50" s="422"/>
      <c r="T50" s="422"/>
      <c r="U50" s="422"/>
      <c r="V50" s="422"/>
      <c r="W50" s="422"/>
      <c r="X50" s="422"/>
    </row>
    <row r="51" spans="1:24" x14ac:dyDescent="0.3">
      <c r="N51" s="422"/>
      <c r="O51" s="422"/>
      <c r="P51" s="422"/>
      <c r="Q51" s="422"/>
      <c r="R51" s="422"/>
      <c r="S51" s="422"/>
      <c r="T51" s="422"/>
      <c r="U51" s="422"/>
      <c r="V51" s="422"/>
      <c r="W51" s="422"/>
      <c r="X51" s="422"/>
    </row>
    <row r="52" spans="1:24" x14ac:dyDescent="0.3">
      <c r="A52" s="1" t="s">
        <v>149</v>
      </c>
      <c r="N52" s="422"/>
      <c r="O52" s="422"/>
      <c r="P52" s="422"/>
      <c r="Q52" s="422"/>
      <c r="R52" s="422"/>
      <c r="S52" s="422"/>
      <c r="T52" s="422"/>
      <c r="U52" s="422"/>
      <c r="V52" s="422"/>
      <c r="W52" s="422"/>
      <c r="X52" s="422"/>
    </row>
    <row r="53" spans="1:24" x14ac:dyDescent="0.3">
      <c r="A53" s="330" t="s">
        <v>306</v>
      </c>
      <c r="B53" s="330"/>
      <c r="C53" s="330"/>
      <c r="N53" s="422"/>
      <c r="O53" s="422"/>
      <c r="P53" s="422"/>
      <c r="Q53" s="422"/>
      <c r="R53" s="422"/>
      <c r="S53" s="422"/>
      <c r="T53" s="422"/>
      <c r="U53" s="422"/>
      <c r="V53" s="422"/>
      <c r="W53" s="422"/>
      <c r="X53" s="422"/>
    </row>
    <row r="54" spans="1:24" x14ac:dyDescent="0.3">
      <c r="A54" s="1" t="s">
        <v>141</v>
      </c>
      <c r="B54" s="330"/>
      <c r="C54" s="330" t="s">
        <v>142</v>
      </c>
    </row>
    <row r="55" spans="1:24" x14ac:dyDescent="0.3">
      <c r="B55" s="330"/>
      <c r="C55" s="330" t="s">
        <v>298</v>
      </c>
    </row>
    <row r="56" spans="1:24" x14ac:dyDescent="0.3">
      <c r="B56" s="330"/>
      <c r="C56" s="330" t="s">
        <v>299</v>
      </c>
    </row>
    <row r="57" spans="1:24" x14ac:dyDescent="0.3">
      <c r="B57" s="330"/>
      <c r="C57" s="330" t="s">
        <v>300</v>
      </c>
    </row>
    <row r="58" spans="1:24" x14ac:dyDescent="0.3">
      <c r="B58" s="330"/>
      <c r="C58" s="330"/>
    </row>
    <row r="60" spans="1:24" x14ac:dyDescent="0.3">
      <c r="A60" s="1" t="s">
        <v>138</v>
      </c>
    </row>
    <row r="61" spans="1:24" x14ac:dyDescent="0.3">
      <c r="A61" t="s">
        <v>139</v>
      </c>
    </row>
    <row r="62" spans="1:24" x14ac:dyDescent="0.3">
      <c r="A62" s="330" t="s">
        <v>321</v>
      </c>
    </row>
    <row r="63" spans="1:24" x14ac:dyDescent="0.3">
      <c r="A63" t="s">
        <v>140</v>
      </c>
    </row>
    <row r="65" spans="1:3" x14ac:dyDescent="0.3">
      <c r="A65" t="s">
        <v>400</v>
      </c>
    </row>
    <row r="66" spans="1:3" x14ac:dyDescent="0.3">
      <c r="A66" t="s">
        <v>114</v>
      </c>
      <c r="C66" s="415">
        <v>43860</v>
      </c>
    </row>
  </sheetData>
  <mergeCells count="8">
    <mergeCell ref="G7:L8"/>
    <mergeCell ref="A7:E8"/>
    <mergeCell ref="N5:X53"/>
    <mergeCell ref="B19:E19"/>
    <mergeCell ref="A21:C21"/>
    <mergeCell ref="A22:E26"/>
    <mergeCell ref="B9:E9"/>
    <mergeCell ref="B20:E20"/>
  </mergeCells>
  <dataValidations count="2">
    <dataValidation type="list" allowBlank="1" showInputMessage="1" showErrorMessage="1" sqref="B5">
      <formula1>ProgramGoals</formula1>
    </dataValidation>
    <dataValidation type="list" allowBlank="1" showErrorMessage="1" sqref="D21">
      <formula1>StreamType</formula1>
    </dataValidation>
  </dataValidations>
  <pageMargins left="0.7" right="0.7" top="0.75" bottom="0.75" header="0.3" footer="0.3"/>
  <pageSetup scale="64" orientation="portrait" r:id="rId1"/>
  <colBreaks count="1" manualBreakCount="1">
    <brk id="12" max="59"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26"/>
  <sheetViews>
    <sheetView workbookViewId="0"/>
  </sheetViews>
  <sheetFormatPr defaultColWidth="9.109375" defaultRowHeight="13.2" x14ac:dyDescent="0.25"/>
  <cols>
    <col min="1" max="1" width="4.109375" style="215" customWidth="1"/>
    <col min="2" max="2" width="4" style="215" customWidth="1"/>
    <col min="3" max="3" width="36.33203125" style="215" customWidth="1"/>
    <col min="4" max="4" width="40.6640625" style="215" customWidth="1"/>
    <col min="5" max="5" width="44.5546875" style="215" customWidth="1"/>
    <col min="6" max="6" width="40.6640625" style="215" customWidth="1"/>
    <col min="7" max="7" width="10.5546875" style="215" customWidth="1"/>
    <col min="8" max="8" width="4.109375" style="215" customWidth="1"/>
    <col min="9" max="9" width="32.88671875" style="215" customWidth="1"/>
    <col min="10" max="10" width="20.109375" style="215" customWidth="1"/>
    <col min="11" max="11" width="29.109375" style="215" customWidth="1"/>
    <col min="12" max="16384" width="9.109375" style="215"/>
  </cols>
  <sheetData>
    <row r="1" spans="1:11" ht="15.6" x14ac:dyDescent="0.25">
      <c r="B1" s="439" t="s">
        <v>244</v>
      </c>
      <c r="C1" s="439"/>
      <c r="E1" s="158" t="s">
        <v>61</v>
      </c>
      <c r="I1" s="376"/>
      <c r="J1" s="376"/>
      <c r="K1" s="376"/>
    </row>
    <row r="2" spans="1:11" ht="15.6" x14ac:dyDescent="0.25">
      <c r="B2" s="440" t="s">
        <v>245</v>
      </c>
      <c r="C2" s="440"/>
      <c r="E2" s="158" t="s">
        <v>62</v>
      </c>
      <c r="I2" s="376"/>
      <c r="J2" s="376"/>
      <c r="K2" s="376"/>
    </row>
    <row r="3" spans="1:11" ht="28.5" customHeight="1" thickBot="1" x14ac:dyDescent="0.3">
      <c r="B3" s="441"/>
      <c r="C3" s="441"/>
      <c r="D3" s="3"/>
      <c r="F3" s="5"/>
      <c r="J3" s="376"/>
      <c r="K3" s="376"/>
    </row>
    <row r="4" spans="1:11" ht="18" thickBot="1" x14ac:dyDescent="0.3">
      <c r="B4" s="450" t="s">
        <v>183</v>
      </c>
      <c r="C4" s="451"/>
      <c r="D4" s="35"/>
      <c r="E4" s="456" t="s">
        <v>368</v>
      </c>
      <c r="F4" s="457"/>
    </row>
    <row r="5" spans="1:11" ht="37.5" customHeight="1" thickBot="1" x14ac:dyDescent="0.3">
      <c r="B5" s="450" t="s">
        <v>126</v>
      </c>
      <c r="C5" s="451"/>
      <c r="D5" s="35"/>
      <c r="E5" s="458"/>
      <c r="F5" s="459"/>
    </row>
    <row r="6" spans="1:11" ht="15.75" customHeight="1" thickBot="1" x14ac:dyDescent="0.3">
      <c r="B6" s="11"/>
      <c r="C6" s="11"/>
      <c r="D6" s="3"/>
      <c r="E6" s="5"/>
      <c r="F6" s="4"/>
    </row>
    <row r="7" spans="1:11" ht="25.5" customHeight="1" thickTop="1" x14ac:dyDescent="0.25">
      <c r="A7" s="452" t="s">
        <v>60</v>
      </c>
      <c r="B7" s="453"/>
      <c r="C7" s="453"/>
      <c r="D7" s="453"/>
      <c r="E7" s="453"/>
      <c r="F7" s="453"/>
      <c r="G7" s="454"/>
      <c r="H7" s="455"/>
      <c r="I7" s="216" t="s">
        <v>253</v>
      </c>
      <c r="J7" s="438" t="s">
        <v>254</v>
      </c>
      <c r="K7" s="438"/>
    </row>
    <row r="8" spans="1:11" ht="15.75" customHeight="1" x14ac:dyDescent="0.25">
      <c r="A8" s="6"/>
      <c r="B8" s="442" t="s">
        <v>63</v>
      </c>
      <c r="C8" s="443"/>
      <c r="D8" s="446" t="s">
        <v>64</v>
      </c>
      <c r="E8" s="446"/>
      <c r="F8" s="447"/>
      <c r="G8" s="448" t="s">
        <v>109</v>
      </c>
      <c r="H8" s="7"/>
      <c r="K8" s="217"/>
    </row>
    <row r="9" spans="1:11" ht="16.2" thickBot="1" x14ac:dyDescent="0.3">
      <c r="A9" s="6"/>
      <c r="B9" s="444"/>
      <c r="C9" s="445"/>
      <c r="D9" s="12" t="s">
        <v>106</v>
      </c>
      <c r="E9" s="12" t="s">
        <v>107</v>
      </c>
      <c r="F9" s="10" t="s">
        <v>108</v>
      </c>
      <c r="G9" s="449"/>
      <c r="H9" s="7"/>
      <c r="I9" s="212" t="s">
        <v>246</v>
      </c>
      <c r="K9" s="217"/>
    </row>
    <row r="10" spans="1:11" ht="41.4" customHeight="1" thickBot="1" x14ac:dyDescent="0.3">
      <c r="A10" s="218"/>
      <c r="B10" s="219">
        <v>1</v>
      </c>
      <c r="C10" s="220" t="s">
        <v>229</v>
      </c>
      <c r="D10" s="221" t="s">
        <v>164</v>
      </c>
      <c r="E10" s="221" t="s">
        <v>166</v>
      </c>
      <c r="F10" s="222" t="s">
        <v>165</v>
      </c>
      <c r="G10" s="350"/>
      <c r="H10" s="223"/>
      <c r="I10" s="213" t="s">
        <v>260</v>
      </c>
      <c r="J10" s="436" t="s">
        <v>261</v>
      </c>
      <c r="K10" s="437"/>
    </row>
    <row r="11" spans="1:11" ht="27" thickBot="1" x14ac:dyDescent="0.3">
      <c r="A11" s="218"/>
      <c r="B11" s="224">
        <v>2</v>
      </c>
      <c r="C11" s="225" t="s">
        <v>397</v>
      </c>
      <c r="D11" s="412" t="s">
        <v>398</v>
      </c>
      <c r="E11" s="412" t="s">
        <v>335</v>
      </c>
      <c r="F11" s="413" t="s">
        <v>399</v>
      </c>
      <c r="G11" s="228"/>
      <c r="H11" s="223"/>
      <c r="I11" s="229" t="s">
        <v>247</v>
      </c>
    </row>
    <row r="12" spans="1:11" ht="40.200000000000003" thickBot="1" x14ac:dyDescent="0.3">
      <c r="A12" s="218"/>
      <c r="B12" s="219">
        <v>3</v>
      </c>
      <c r="C12" s="220" t="s">
        <v>230</v>
      </c>
      <c r="D12" s="378" t="s">
        <v>332</v>
      </c>
      <c r="E12" s="221" t="s">
        <v>333</v>
      </c>
      <c r="F12" s="221" t="s">
        <v>334</v>
      </c>
      <c r="G12" s="230"/>
      <c r="H12" s="223"/>
      <c r="I12" s="213" t="s">
        <v>248</v>
      </c>
    </row>
    <row r="13" spans="1:11" ht="27" thickBot="1" x14ac:dyDescent="0.3">
      <c r="A13" s="218"/>
      <c r="B13" s="224">
        <v>4</v>
      </c>
      <c r="C13" s="225" t="s">
        <v>231</v>
      </c>
      <c r="D13" s="226" t="s">
        <v>232</v>
      </c>
      <c r="E13" s="226" t="s">
        <v>233</v>
      </c>
      <c r="F13" s="227" t="s">
        <v>234</v>
      </c>
      <c r="G13" s="228"/>
      <c r="H13" s="223"/>
      <c r="I13" s="229" t="s">
        <v>249</v>
      </c>
    </row>
    <row r="14" spans="1:11" ht="13.8" thickBot="1" x14ac:dyDescent="0.3">
      <c r="A14" s="218"/>
      <c r="B14" s="219">
        <v>5</v>
      </c>
      <c r="C14" s="220" t="s">
        <v>235</v>
      </c>
      <c r="D14" s="377" t="s">
        <v>265</v>
      </c>
      <c r="E14" s="378" t="s">
        <v>236</v>
      </c>
      <c r="F14" s="377" t="s">
        <v>371</v>
      </c>
      <c r="G14" s="230"/>
      <c r="H14" s="223"/>
      <c r="I14" s="213" t="s">
        <v>250</v>
      </c>
    </row>
    <row r="15" spans="1:11" ht="27" thickBot="1" x14ac:dyDescent="0.3">
      <c r="A15" s="218"/>
      <c r="B15" s="224">
        <v>6</v>
      </c>
      <c r="C15" s="225" t="s">
        <v>237</v>
      </c>
      <c r="D15" s="227" t="s">
        <v>264</v>
      </c>
      <c r="E15" s="226" t="s">
        <v>236</v>
      </c>
      <c r="F15" s="227" t="s">
        <v>265</v>
      </c>
      <c r="G15" s="231"/>
      <c r="H15" s="223"/>
      <c r="I15" s="229" t="s">
        <v>251</v>
      </c>
    </row>
    <row r="16" spans="1:11" ht="76.5" customHeight="1" thickBot="1" x14ac:dyDescent="0.3">
      <c r="A16" s="218"/>
      <c r="B16" s="232">
        <v>7</v>
      </c>
      <c r="C16" s="233" t="s">
        <v>238</v>
      </c>
      <c r="D16" s="378" t="s">
        <v>393</v>
      </c>
      <c r="E16" s="378" t="s">
        <v>394</v>
      </c>
      <c r="F16" s="378" t="s">
        <v>395</v>
      </c>
      <c r="G16" s="235"/>
      <c r="H16" s="223"/>
      <c r="I16" s="213" t="s">
        <v>396</v>
      </c>
    </row>
    <row r="17" spans="1:9" ht="27" thickBot="1" x14ac:dyDescent="0.3">
      <c r="A17" s="218"/>
      <c r="B17" s="236">
        <v>8</v>
      </c>
      <c r="C17" s="237" t="s">
        <v>239</v>
      </c>
      <c r="D17" s="226" t="s">
        <v>345</v>
      </c>
      <c r="E17" s="226" t="s">
        <v>346</v>
      </c>
      <c r="F17" s="227" t="s">
        <v>347</v>
      </c>
      <c r="G17" s="238"/>
      <c r="H17" s="223"/>
      <c r="I17" s="229" t="s">
        <v>252</v>
      </c>
    </row>
    <row r="18" spans="1:9" ht="66.599999999999994" thickBot="1" x14ac:dyDescent="0.3">
      <c r="A18" s="218"/>
      <c r="B18" s="239">
        <v>9</v>
      </c>
      <c r="C18" s="240" t="s">
        <v>240</v>
      </c>
      <c r="D18" s="241" t="s">
        <v>325</v>
      </c>
      <c r="E18" s="241" t="s">
        <v>326</v>
      </c>
      <c r="F18" s="242" t="s">
        <v>327</v>
      </c>
      <c r="G18" s="243"/>
      <c r="H18" s="223"/>
      <c r="I18" s="213" t="s">
        <v>262</v>
      </c>
    </row>
    <row r="19" spans="1:9" ht="66.599999999999994" thickBot="1" x14ac:dyDescent="0.3">
      <c r="A19" s="218"/>
      <c r="B19" s="244">
        <v>10</v>
      </c>
      <c r="C19" s="336" t="s">
        <v>328</v>
      </c>
      <c r="D19" s="336" t="s">
        <v>329</v>
      </c>
      <c r="E19" s="336" t="s">
        <v>330</v>
      </c>
      <c r="F19" s="336" t="s">
        <v>331</v>
      </c>
      <c r="G19" s="228"/>
      <c r="H19" s="223"/>
      <c r="I19" s="229" t="s">
        <v>259</v>
      </c>
    </row>
    <row r="20" spans="1:9" ht="40.200000000000003" thickBot="1" x14ac:dyDescent="0.3">
      <c r="A20" s="218"/>
      <c r="B20" s="245">
        <v>11</v>
      </c>
      <c r="C20" s="246" t="s">
        <v>241</v>
      </c>
      <c r="D20" s="373" t="s">
        <v>322</v>
      </c>
      <c r="E20" s="373" t="s">
        <v>323</v>
      </c>
      <c r="F20" s="385" t="s">
        <v>324</v>
      </c>
      <c r="G20" s="247"/>
      <c r="H20" s="223"/>
      <c r="I20" s="213" t="s">
        <v>258</v>
      </c>
    </row>
    <row r="21" spans="1:9" ht="40.200000000000003" thickBot="1" x14ac:dyDescent="0.3">
      <c r="A21" s="218"/>
      <c r="B21" s="236">
        <v>12</v>
      </c>
      <c r="C21" s="237" t="s">
        <v>242</v>
      </c>
      <c r="D21" s="226" t="s">
        <v>344</v>
      </c>
      <c r="E21" s="226" t="s">
        <v>342</v>
      </c>
      <c r="F21" s="227" t="s">
        <v>343</v>
      </c>
      <c r="G21" s="231"/>
      <c r="H21" s="223"/>
      <c r="I21" s="229" t="s">
        <v>257</v>
      </c>
    </row>
    <row r="22" spans="1:9" ht="70.5" customHeight="1" thickBot="1" x14ac:dyDescent="0.3">
      <c r="A22" s="218"/>
      <c r="B22" s="232">
        <v>13</v>
      </c>
      <c r="C22" s="233" t="s">
        <v>243</v>
      </c>
      <c r="D22" s="234" t="s">
        <v>336</v>
      </c>
      <c r="E22" s="234" t="s">
        <v>337</v>
      </c>
      <c r="F22" s="248" t="s">
        <v>338</v>
      </c>
      <c r="G22" s="247"/>
      <c r="H22" s="223"/>
      <c r="I22" s="214" t="s">
        <v>255</v>
      </c>
    </row>
    <row r="23" spans="1:9" ht="70.5" customHeight="1" thickBot="1" x14ac:dyDescent="0.3">
      <c r="A23" s="218"/>
      <c r="B23" s="224">
        <v>14</v>
      </c>
      <c r="C23" s="237" t="s">
        <v>263</v>
      </c>
      <c r="D23" s="249" t="s">
        <v>341</v>
      </c>
      <c r="E23" s="249" t="s">
        <v>340</v>
      </c>
      <c r="F23" s="249" t="s">
        <v>339</v>
      </c>
      <c r="G23" s="231"/>
      <c r="H23" s="223"/>
      <c r="I23" s="229" t="s">
        <v>256</v>
      </c>
    </row>
    <row r="24" spans="1:9" ht="65.25" customHeight="1" thickBot="1" x14ac:dyDescent="0.3">
      <c r="A24" s="218"/>
      <c r="B24" s="371">
        <v>15</v>
      </c>
      <c r="C24" s="372" t="s">
        <v>67</v>
      </c>
      <c r="D24" s="373"/>
      <c r="E24" s="373"/>
      <c r="F24" s="373"/>
      <c r="G24" s="374"/>
      <c r="H24" s="223"/>
      <c r="I24" s="375"/>
    </row>
    <row r="25" spans="1:9" ht="18.75" customHeight="1" thickBot="1" x14ac:dyDescent="0.3">
      <c r="A25" s="250"/>
      <c r="B25" s="8"/>
      <c r="C25" s="251"/>
      <c r="D25" s="251"/>
      <c r="E25" s="251"/>
      <c r="F25" s="251"/>
      <c r="G25" s="251"/>
      <c r="H25" s="252"/>
    </row>
    <row r="26" spans="1:9" ht="13.8" thickTop="1" x14ac:dyDescent="0.25"/>
  </sheetData>
  <mergeCells count="12">
    <mergeCell ref="J10:K10"/>
    <mergeCell ref="J7:K7"/>
    <mergeCell ref="B1:C1"/>
    <mergeCell ref="B2:C2"/>
    <mergeCell ref="B3:C3"/>
    <mergeCell ref="B8:C9"/>
    <mergeCell ref="D8:F8"/>
    <mergeCell ref="G8:G9"/>
    <mergeCell ref="B4:C4"/>
    <mergeCell ref="A7:H7"/>
    <mergeCell ref="B5:C5"/>
    <mergeCell ref="E4:F5"/>
  </mergeCells>
  <dataValidations count="2">
    <dataValidation type="list" allowBlank="1" showInputMessage="1" showErrorMessage="1" sqref="D4">
      <formula1>CatchmentAssessment</formula1>
    </dataValidation>
    <dataValidation type="list" allowBlank="1" showInputMessage="1" showErrorMessage="1" sqref="D5">
      <formula1>Level</formula1>
    </dataValidation>
  </dataValidations>
  <hyperlinks>
    <hyperlink ref="J7" r:id="rId1"/>
  </hyperlinks>
  <printOptions horizontalCentered="1" verticalCentered="1"/>
  <pageMargins left="0.95" right="0.95" top="0.5" bottom="0.5" header="0.3" footer="0.3"/>
  <pageSetup scale="63" orientation="landscape" r:id="rId2"/>
  <headerFooter>
    <oddFooter>&amp;L&amp;12Version 0.2&amp;C&amp;12Catchment Assessment Form &amp;P of &amp;N&amp;R05-31-2019</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workbookViewId="0">
      <selection sqref="A1:G1"/>
    </sheetView>
  </sheetViews>
  <sheetFormatPr defaultRowHeight="14.4" x14ac:dyDescent="0.3"/>
  <cols>
    <col min="1" max="1" width="11.5546875" style="334" customWidth="1"/>
    <col min="2" max="2" width="19.33203125" style="334" customWidth="1"/>
    <col min="3" max="3" width="18.109375" style="334" customWidth="1"/>
    <col min="4" max="4" width="29.33203125" style="334" customWidth="1"/>
    <col min="5" max="5" width="25.33203125" style="334" customWidth="1"/>
    <col min="6" max="6" width="21.5546875" style="334" customWidth="1"/>
    <col min="7" max="7" width="25" style="334" customWidth="1"/>
  </cols>
  <sheetData>
    <row r="1" spans="1:8" x14ac:dyDescent="0.3">
      <c r="A1" s="460" t="s">
        <v>351</v>
      </c>
      <c r="B1" s="460"/>
      <c r="C1" s="460"/>
      <c r="D1" s="460"/>
      <c r="E1" s="460"/>
      <c r="F1" s="460"/>
      <c r="G1" s="460"/>
    </row>
    <row r="2" spans="1:8" x14ac:dyDescent="0.3">
      <c r="A2" s="461" t="s">
        <v>352</v>
      </c>
      <c r="B2" s="331" t="s">
        <v>307</v>
      </c>
      <c r="C2" s="331" t="s">
        <v>308</v>
      </c>
      <c r="D2" s="331" t="s">
        <v>309</v>
      </c>
      <c r="E2" s="331" t="s">
        <v>310</v>
      </c>
      <c r="F2" s="331" t="s">
        <v>311</v>
      </c>
      <c r="G2" s="331" t="s">
        <v>312</v>
      </c>
      <c r="H2" s="332"/>
    </row>
    <row r="3" spans="1:8" ht="40.200000000000003" x14ac:dyDescent="0.3">
      <c r="A3" s="462"/>
      <c r="B3" s="333" t="s">
        <v>313</v>
      </c>
      <c r="C3" s="333" t="s">
        <v>314</v>
      </c>
      <c r="D3" s="333" t="s">
        <v>315</v>
      </c>
      <c r="E3" s="333" t="s">
        <v>316</v>
      </c>
      <c r="F3" s="333" t="s">
        <v>317</v>
      </c>
      <c r="G3" s="333" t="s">
        <v>318</v>
      </c>
      <c r="H3" s="332"/>
    </row>
    <row r="4" spans="1:8" x14ac:dyDescent="0.3">
      <c r="A4" s="351">
        <v>7</v>
      </c>
      <c r="B4" s="352">
        <v>76</v>
      </c>
      <c r="C4" s="351"/>
      <c r="D4" s="352">
        <v>67</v>
      </c>
      <c r="E4" s="352">
        <v>82</v>
      </c>
      <c r="F4" s="352">
        <v>99</v>
      </c>
      <c r="G4" s="352">
        <v>55</v>
      </c>
      <c r="H4" s="332"/>
    </row>
    <row r="5" spans="1:8" x14ac:dyDescent="0.3">
      <c r="A5" s="351">
        <v>8</v>
      </c>
      <c r="B5" s="352">
        <v>76</v>
      </c>
      <c r="C5" s="351"/>
      <c r="D5" s="352">
        <v>67</v>
      </c>
      <c r="E5" s="352">
        <v>82</v>
      </c>
      <c r="F5" s="352">
        <v>99</v>
      </c>
      <c r="G5" s="352">
        <v>55</v>
      </c>
      <c r="H5" s="332"/>
    </row>
    <row r="6" spans="1:8" x14ac:dyDescent="0.3">
      <c r="A6" s="351">
        <v>9</v>
      </c>
      <c r="B6" s="352">
        <v>53</v>
      </c>
      <c r="C6" s="352">
        <v>69</v>
      </c>
      <c r="D6" s="352">
        <v>29</v>
      </c>
      <c r="E6" s="352">
        <v>68</v>
      </c>
      <c r="F6" s="352">
        <v>50</v>
      </c>
      <c r="G6" s="352">
        <v>48</v>
      </c>
      <c r="H6" s="332"/>
    </row>
    <row r="7" spans="1:8" x14ac:dyDescent="0.3">
      <c r="A7" s="351">
        <v>10</v>
      </c>
      <c r="B7" s="352">
        <v>68</v>
      </c>
      <c r="C7" s="352">
        <v>56</v>
      </c>
      <c r="D7" s="352">
        <v>66</v>
      </c>
      <c r="E7" s="352">
        <v>79</v>
      </c>
      <c r="F7" s="352">
        <v>87</v>
      </c>
      <c r="G7" s="352">
        <v>50</v>
      </c>
      <c r="H7" s="332"/>
    </row>
    <row r="8" spans="1:8" x14ac:dyDescent="0.3">
      <c r="A8" s="351">
        <v>11</v>
      </c>
      <c r="B8" s="352">
        <v>68</v>
      </c>
      <c r="C8" s="352">
        <v>56</v>
      </c>
      <c r="D8" s="352">
        <v>66</v>
      </c>
      <c r="E8" s="352">
        <v>79</v>
      </c>
      <c r="F8" s="352">
        <v>87</v>
      </c>
      <c r="G8" s="352">
        <v>50</v>
      </c>
      <c r="H8" s="332"/>
    </row>
    <row r="9" spans="1:8" x14ac:dyDescent="0.3">
      <c r="A9" s="351">
        <v>12</v>
      </c>
      <c r="B9" s="352">
        <v>74</v>
      </c>
      <c r="C9" s="352">
        <v>84</v>
      </c>
      <c r="D9" s="352">
        <v>64</v>
      </c>
      <c r="E9" s="352">
        <v>79</v>
      </c>
      <c r="F9" s="352">
        <v>96</v>
      </c>
      <c r="G9" s="352">
        <v>48</v>
      </c>
      <c r="H9" s="332"/>
    </row>
    <row r="10" spans="1:8" x14ac:dyDescent="0.3">
      <c r="A10" s="351">
        <v>13</v>
      </c>
      <c r="B10" s="352">
        <v>74</v>
      </c>
      <c r="C10" s="352">
        <v>84</v>
      </c>
      <c r="D10" s="352">
        <v>64</v>
      </c>
      <c r="E10" s="352">
        <v>79</v>
      </c>
      <c r="F10" s="352">
        <v>96</v>
      </c>
      <c r="G10" s="352">
        <v>48</v>
      </c>
      <c r="H10" s="332"/>
    </row>
    <row r="11" spans="1:8" x14ac:dyDescent="0.3">
      <c r="A11" s="351">
        <v>14</v>
      </c>
      <c r="B11" s="352">
        <v>69</v>
      </c>
      <c r="C11" s="352">
        <v>68</v>
      </c>
      <c r="D11" s="352">
        <v>67</v>
      </c>
      <c r="E11" s="352">
        <v>68</v>
      </c>
      <c r="F11" s="352">
        <v>94</v>
      </c>
      <c r="G11" s="352">
        <v>47</v>
      </c>
      <c r="H11" s="332"/>
    </row>
    <row r="12" spans="1:8" x14ac:dyDescent="0.3">
      <c r="A12" s="351">
        <v>15</v>
      </c>
      <c r="B12" s="352">
        <v>71</v>
      </c>
      <c r="C12" s="352">
        <v>64</v>
      </c>
      <c r="D12" s="352">
        <v>63</v>
      </c>
      <c r="E12" s="352">
        <v>71</v>
      </c>
      <c r="F12" s="352">
        <v>97</v>
      </c>
      <c r="G12" s="352">
        <v>59</v>
      </c>
      <c r="H12" s="332"/>
    </row>
    <row r="13" spans="1:8" x14ac:dyDescent="0.3">
      <c r="A13" s="351">
        <v>16</v>
      </c>
      <c r="B13" s="352">
        <v>71</v>
      </c>
      <c r="C13" s="352">
        <v>64</v>
      </c>
      <c r="D13" s="352">
        <v>63</v>
      </c>
      <c r="E13" s="352">
        <v>71</v>
      </c>
      <c r="F13" s="352">
        <v>97</v>
      </c>
      <c r="G13" s="352">
        <v>59</v>
      </c>
      <c r="H13" s="332"/>
    </row>
    <row r="14" spans="1:8" x14ac:dyDescent="0.3">
      <c r="A14" s="351">
        <v>17</v>
      </c>
      <c r="B14" s="352">
        <v>73</v>
      </c>
      <c r="C14" s="352">
        <v>75</v>
      </c>
      <c r="D14" s="352">
        <v>60</v>
      </c>
      <c r="E14" s="352">
        <v>86</v>
      </c>
      <c r="F14" s="352">
        <v>98</v>
      </c>
      <c r="G14" s="352">
        <v>48</v>
      </c>
      <c r="H14" s="332"/>
    </row>
    <row r="15" spans="1:8" x14ac:dyDescent="0.3">
      <c r="A15" s="351">
        <v>18</v>
      </c>
      <c r="B15" s="352">
        <v>69</v>
      </c>
      <c r="C15" s="352">
        <v>50</v>
      </c>
      <c r="D15" s="352">
        <v>71</v>
      </c>
      <c r="E15" s="352">
        <v>73</v>
      </c>
      <c r="F15" s="352">
        <v>98</v>
      </c>
      <c r="G15" s="352">
        <v>52</v>
      </c>
      <c r="H15" s="332"/>
    </row>
    <row r="16" spans="1:8" x14ac:dyDescent="0.3">
      <c r="A16" s="351">
        <v>19</v>
      </c>
      <c r="B16" s="352">
        <v>69</v>
      </c>
      <c r="C16" s="352">
        <v>50</v>
      </c>
      <c r="D16" s="352">
        <v>71</v>
      </c>
      <c r="E16" s="352">
        <v>73</v>
      </c>
      <c r="F16" s="352">
        <v>98</v>
      </c>
      <c r="G16" s="352">
        <v>52</v>
      </c>
      <c r="H16" s="332"/>
    </row>
    <row r="17" spans="1:8" x14ac:dyDescent="0.3">
      <c r="A17" s="351">
        <v>20</v>
      </c>
      <c r="B17" s="352">
        <v>65</v>
      </c>
      <c r="C17" s="352">
        <v>50</v>
      </c>
      <c r="D17" s="352">
        <v>66</v>
      </c>
      <c r="E17" s="352">
        <v>59</v>
      </c>
      <c r="F17" s="352">
        <v>99</v>
      </c>
      <c r="G17" s="352">
        <v>51</v>
      </c>
      <c r="H17" s="332"/>
    </row>
    <row r="18" spans="1:8" x14ac:dyDescent="0.3">
      <c r="A18" s="351">
        <v>21</v>
      </c>
      <c r="B18" s="352">
        <v>73</v>
      </c>
      <c r="C18" s="352">
        <v>59</v>
      </c>
      <c r="D18" s="352">
        <v>69</v>
      </c>
      <c r="E18" s="352">
        <v>85</v>
      </c>
      <c r="F18" s="352">
        <v>93</v>
      </c>
      <c r="G18" s="352">
        <v>58</v>
      </c>
      <c r="H18" s="332"/>
    </row>
    <row r="19" spans="1:8" x14ac:dyDescent="0.3">
      <c r="A19" s="351">
        <v>22</v>
      </c>
      <c r="B19" s="352">
        <v>54</v>
      </c>
      <c r="C19" s="352">
        <v>13</v>
      </c>
      <c r="D19" s="352">
        <v>75</v>
      </c>
      <c r="E19" s="352">
        <v>38</v>
      </c>
      <c r="F19" s="352">
        <v>99</v>
      </c>
      <c r="G19" s="352">
        <v>45</v>
      </c>
      <c r="H19" s="332"/>
    </row>
    <row r="20" spans="1:8" x14ac:dyDescent="0.3">
      <c r="A20" s="351">
        <v>23</v>
      </c>
      <c r="B20" s="352">
        <v>63</v>
      </c>
      <c r="C20" s="352">
        <v>43</v>
      </c>
      <c r="D20" s="352">
        <v>73</v>
      </c>
      <c r="E20" s="352">
        <v>48</v>
      </c>
      <c r="F20" s="352">
        <v>94</v>
      </c>
      <c r="G20" s="352">
        <v>54</v>
      </c>
      <c r="H20" s="332"/>
    </row>
    <row r="21" spans="1:8" x14ac:dyDescent="0.3">
      <c r="A21" s="351">
        <v>24</v>
      </c>
      <c r="B21" s="352">
        <v>61</v>
      </c>
      <c r="C21" s="352">
        <v>29</v>
      </c>
      <c r="D21" s="352">
        <v>76</v>
      </c>
      <c r="E21" s="352">
        <v>55</v>
      </c>
      <c r="F21" s="352">
        <v>99</v>
      </c>
      <c r="G21" s="352">
        <v>44</v>
      </c>
      <c r="H21" s="332"/>
    </row>
    <row r="22" spans="1:8" x14ac:dyDescent="0.3">
      <c r="A22" s="351">
        <v>25</v>
      </c>
      <c r="B22" s="352">
        <v>61</v>
      </c>
      <c r="C22" s="352">
        <v>38</v>
      </c>
      <c r="D22" s="352">
        <v>71</v>
      </c>
      <c r="E22" s="352">
        <v>63</v>
      </c>
      <c r="F22" s="352">
        <v>94</v>
      </c>
      <c r="G22" s="352">
        <v>39</v>
      </c>
      <c r="H22" s="332"/>
    </row>
    <row r="23" spans="1:8" x14ac:dyDescent="0.3">
      <c r="A23" s="351">
        <v>26</v>
      </c>
      <c r="B23" s="352">
        <v>66</v>
      </c>
      <c r="C23" s="352">
        <v>54</v>
      </c>
      <c r="D23" s="352">
        <v>71</v>
      </c>
      <c r="E23" s="352">
        <v>67</v>
      </c>
      <c r="F23" s="352">
        <v>90</v>
      </c>
      <c r="G23" s="352">
        <v>50</v>
      </c>
      <c r="H23" s="332"/>
    </row>
    <row r="24" spans="1:8" x14ac:dyDescent="0.3">
      <c r="A24" s="351">
        <v>27</v>
      </c>
      <c r="B24" s="352">
        <v>71</v>
      </c>
      <c r="C24" s="352">
        <v>58</v>
      </c>
      <c r="D24" s="352">
        <v>64</v>
      </c>
      <c r="E24" s="352">
        <v>74</v>
      </c>
      <c r="F24" s="352">
        <v>99</v>
      </c>
      <c r="G24" s="352">
        <v>58</v>
      </c>
      <c r="H24" s="332"/>
    </row>
    <row r="25" spans="1:8" x14ac:dyDescent="0.3">
      <c r="A25" s="351">
        <v>28</v>
      </c>
      <c r="B25" s="352">
        <v>66</v>
      </c>
      <c r="C25" s="352">
        <v>51</v>
      </c>
      <c r="D25" s="352">
        <v>62</v>
      </c>
      <c r="E25" s="352">
        <v>61</v>
      </c>
      <c r="F25" s="352">
        <v>98</v>
      </c>
      <c r="G25" s="352">
        <v>58</v>
      </c>
      <c r="H25" s="332"/>
    </row>
    <row r="26" spans="1:8" x14ac:dyDescent="0.3">
      <c r="A26" s="351">
        <v>29</v>
      </c>
      <c r="B26" s="352">
        <v>64</v>
      </c>
      <c r="C26" s="352">
        <v>35</v>
      </c>
      <c r="D26" s="352">
        <v>73</v>
      </c>
      <c r="E26" s="352">
        <v>69</v>
      </c>
      <c r="F26" s="352">
        <v>96</v>
      </c>
      <c r="G26" s="352">
        <v>49</v>
      </c>
      <c r="H26" s="332"/>
    </row>
    <row r="27" spans="1:8" x14ac:dyDescent="0.3">
      <c r="A27" s="351">
        <v>30</v>
      </c>
      <c r="B27" s="352">
        <v>58</v>
      </c>
      <c r="C27" s="352">
        <v>46</v>
      </c>
      <c r="D27" s="352">
        <v>39</v>
      </c>
      <c r="E27" s="352">
        <v>63</v>
      </c>
      <c r="F27" s="352">
        <v>96</v>
      </c>
      <c r="G27" s="352">
        <v>49</v>
      </c>
      <c r="H27" s="332"/>
    </row>
    <row r="28" spans="1:8" x14ac:dyDescent="0.3">
      <c r="A28" s="351">
        <v>31</v>
      </c>
      <c r="B28" s="352">
        <v>66</v>
      </c>
      <c r="C28" s="352">
        <v>40</v>
      </c>
      <c r="D28" s="352">
        <v>68</v>
      </c>
      <c r="E28" s="352">
        <v>71</v>
      </c>
      <c r="F28" s="352">
        <v>99</v>
      </c>
      <c r="G28" s="352">
        <v>51</v>
      </c>
      <c r="H28" s="332"/>
    </row>
    <row r="29" spans="1:8" x14ac:dyDescent="0.3">
      <c r="A29" s="351">
        <v>32</v>
      </c>
      <c r="B29" s="352">
        <v>65</v>
      </c>
      <c r="C29" s="352">
        <v>50</v>
      </c>
      <c r="D29" s="352">
        <v>64</v>
      </c>
      <c r="E29" s="352">
        <v>63</v>
      </c>
      <c r="F29" s="352">
        <v>98</v>
      </c>
      <c r="G29" s="352">
        <v>53</v>
      </c>
      <c r="H29" s="332"/>
    </row>
    <row r="30" spans="1:8" x14ac:dyDescent="0.3">
      <c r="A30" s="351">
        <v>33</v>
      </c>
      <c r="B30" s="352">
        <v>64</v>
      </c>
      <c r="C30" s="352">
        <v>46</v>
      </c>
      <c r="D30" s="352">
        <v>61</v>
      </c>
      <c r="E30" s="352">
        <v>64</v>
      </c>
      <c r="F30" s="352">
        <v>100</v>
      </c>
      <c r="G30" s="352">
        <v>51</v>
      </c>
      <c r="H30" s="332"/>
    </row>
    <row r="31" spans="1:8" x14ac:dyDescent="0.3">
      <c r="A31" s="351">
        <v>34</v>
      </c>
      <c r="B31" s="352">
        <v>67</v>
      </c>
      <c r="C31" s="352">
        <v>90</v>
      </c>
      <c r="D31" s="352">
        <v>16</v>
      </c>
      <c r="E31" s="352">
        <v>93</v>
      </c>
      <c r="F31" s="352">
        <v>90</v>
      </c>
      <c r="G31" s="352">
        <v>47</v>
      </c>
      <c r="H31" s="332"/>
    </row>
    <row r="32" spans="1:8" x14ac:dyDescent="0.3">
      <c r="A32" s="351">
        <v>35</v>
      </c>
      <c r="B32" s="352">
        <v>66</v>
      </c>
      <c r="C32" s="352">
        <v>72</v>
      </c>
      <c r="D32" s="352">
        <v>50</v>
      </c>
      <c r="E32" s="352">
        <v>69</v>
      </c>
      <c r="F32" s="352">
        <v>99</v>
      </c>
      <c r="G32" s="352">
        <v>41</v>
      </c>
      <c r="H32" s="332"/>
    </row>
    <row r="33" spans="1:8" x14ac:dyDescent="0.3">
      <c r="A33" s="351">
        <v>36</v>
      </c>
      <c r="B33" s="352">
        <v>66</v>
      </c>
      <c r="C33" s="352">
        <v>59</v>
      </c>
      <c r="D33" s="352">
        <v>53</v>
      </c>
      <c r="E33" s="352">
        <v>70</v>
      </c>
      <c r="F33" s="352">
        <v>95</v>
      </c>
      <c r="G33" s="352">
        <v>55</v>
      </c>
      <c r="H33" s="332"/>
    </row>
    <row r="34" spans="1:8" x14ac:dyDescent="0.3">
      <c r="A34" s="351">
        <v>37</v>
      </c>
      <c r="B34" s="352">
        <v>66</v>
      </c>
      <c r="C34" s="352">
        <v>59</v>
      </c>
      <c r="D34" s="352">
        <v>53</v>
      </c>
      <c r="E34" s="352">
        <v>70</v>
      </c>
      <c r="F34" s="352">
        <v>95</v>
      </c>
      <c r="G34" s="352">
        <v>55</v>
      </c>
      <c r="H34" s="332"/>
    </row>
    <row r="35" spans="1:8" x14ac:dyDescent="0.3">
      <c r="A35" s="351">
        <v>38</v>
      </c>
      <c r="B35" s="352">
        <v>74</v>
      </c>
      <c r="C35" s="352">
        <v>79</v>
      </c>
      <c r="D35" s="352">
        <v>52</v>
      </c>
      <c r="E35" s="352">
        <v>79</v>
      </c>
      <c r="F35" s="352">
        <v>99</v>
      </c>
      <c r="G35" s="352">
        <v>58</v>
      </c>
      <c r="H35" s="332"/>
    </row>
    <row r="36" spans="1:8" x14ac:dyDescent="0.3">
      <c r="A36" s="351">
        <v>39</v>
      </c>
      <c r="B36" s="352">
        <v>68</v>
      </c>
      <c r="C36" s="352">
        <v>73</v>
      </c>
      <c r="D36" s="352">
        <v>44</v>
      </c>
      <c r="E36" s="352">
        <v>78</v>
      </c>
      <c r="F36" s="352">
        <v>100</v>
      </c>
      <c r="G36" s="352">
        <v>45</v>
      </c>
      <c r="H36" s="332"/>
    </row>
    <row r="37" spans="1:8" x14ac:dyDescent="0.3">
      <c r="A37" s="351">
        <v>41</v>
      </c>
      <c r="B37" s="352">
        <v>69</v>
      </c>
      <c r="C37" s="352">
        <v>71</v>
      </c>
      <c r="D37" s="352">
        <v>43</v>
      </c>
      <c r="E37" s="352">
        <v>88</v>
      </c>
      <c r="F37" s="352">
        <v>100</v>
      </c>
      <c r="G37" s="352">
        <v>45</v>
      </c>
      <c r="H37" s="332"/>
    </row>
    <row r="38" spans="1:8" x14ac:dyDescent="0.3">
      <c r="A38" s="351">
        <v>47</v>
      </c>
      <c r="B38" s="352">
        <v>74</v>
      </c>
      <c r="C38" s="352">
        <v>75</v>
      </c>
      <c r="D38" s="352">
        <v>58</v>
      </c>
      <c r="E38" s="352">
        <v>88</v>
      </c>
      <c r="F38" s="352">
        <v>93</v>
      </c>
      <c r="G38" s="352">
        <v>57</v>
      </c>
      <c r="H38" s="332"/>
    </row>
    <row r="39" spans="1:8" x14ac:dyDescent="0.3">
      <c r="A39" s="351">
        <v>48</v>
      </c>
      <c r="B39" s="352">
        <v>71</v>
      </c>
      <c r="C39" s="352">
        <v>73</v>
      </c>
      <c r="D39" s="352">
        <v>41</v>
      </c>
      <c r="E39" s="352">
        <v>82</v>
      </c>
      <c r="F39" s="352">
        <v>98</v>
      </c>
      <c r="G39" s="352">
        <v>62</v>
      </c>
      <c r="H39" s="332"/>
    </row>
    <row r="40" spans="1:8" x14ac:dyDescent="0.3">
      <c r="A40" s="351">
        <v>49</v>
      </c>
      <c r="B40" s="352">
        <v>71</v>
      </c>
      <c r="C40" s="352">
        <v>73</v>
      </c>
      <c r="D40" s="352">
        <v>41</v>
      </c>
      <c r="E40" s="352">
        <v>82</v>
      </c>
      <c r="F40" s="352">
        <v>98</v>
      </c>
      <c r="G40" s="352">
        <v>62</v>
      </c>
      <c r="H40" s="332"/>
    </row>
    <row r="41" spans="1:8" x14ac:dyDescent="0.3">
      <c r="A41" s="351">
        <v>50</v>
      </c>
      <c r="B41" s="352">
        <v>71</v>
      </c>
      <c r="C41" s="352">
        <v>73</v>
      </c>
      <c r="D41" s="352">
        <v>41</v>
      </c>
      <c r="E41" s="352">
        <v>82</v>
      </c>
      <c r="F41" s="352">
        <v>98</v>
      </c>
      <c r="G41" s="352">
        <v>62</v>
      </c>
      <c r="H41" s="332"/>
    </row>
    <row r="42" spans="1:8" x14ac:dyDescent="0.3">
      <c r="A42" s="351">
        <v>51</v>
      </c>
      <c r="B42" s="352">
        <v>64</v>
      </c>
      <c r="C42" s="352">
        <v>53</v>
      </c>
      <c r="D42" s="352">
        <v>53</v>
      </c>
      <c r="E42" s="352">
        <v>66</v>
      </c>
      <c r="F42" s="352">
        <v>95</v>
      </c>
      <c r="G42" s="352">
        <v>51</v>
      </c>
      <c r="H42" s="332"/>
    </row>
    <row r="43" spans="1:8" x14ac:dyDescent="0.3">
      <c r="A43" s="351">
        <v>52</v>
      </c>
      <c r="B43" s="352">
        <v>64</v>
      </c>
      <c r="C43" s="352">
        <v>53</v>
      </c>
      <c r="D43" s="352">
        <v>53</v>
      </c>
      <c r="E43" s="352">
        <v>66</v>
      </c>
      <c r="F43" s="352">
        <v>95</v>
      </c>
      <c r="G43" s="352">
        <v>51</v>
      </c>
      <c r="H43" s="332"/>
    </row>
    <row r="44" spans="1:8" x14ac:dyDescent="0.3">
      <c r="A44" s="351">
        <v>53</v>
      </c>
      <c r="B44" s="352">
        <v>64</v>
      </c>
      <c r="C44" s="352">
        <v>53</v>
      </c>
      <c r="D44" s="352">
        <v>53</v>
      </c>
      <c r="E44" s="352">
        <v>66</v>
      </c>
      <c r="F44" s="352">
        <v>95</v>
      </c>
      <c r="G44" s="352">
        <v>51</v>
      </c>
      <c r="H44" s="332"/>
    </row>
    <row r="45" spans="1:8" x14ac:dyDescent="0.3">
      <c r="A45" s="351">
        <v>54</v>
      </c>
      <c r="B45" s="352">
        <v>63</v>
      </c>
      <c r="C45" s="352">
        <v>47</v>
      </c>
      <c r="D45" s="352">
        <v>60</v>
      </c>
      <c r="E45" s="352">
        <v>62</v>
      </c>
      <c r="F45" s="352">
        <v>99</v>
      </c>
      <c r="G45" s="352">
        <v>48</v>
      </c>
      <c r="H45" s="332"/>
    </row>
    <row r="46" spans="1:8" x14ac:dyDescent="0.3">
      <c r="A46" s="351">
        <v>55</v>
      </c>
      <c r="B46" s="352">
        <v>63</v>
      </c>
      <c r="C46" s="352">
        <v>47</v>
      </c>
      <c r="D46" s="352">
        <v>60</v>
      </c>
      <c r="E46" s="352">
        <v>62</v>
      </c>
      <c r="F46" s="352">
        <v>99</v>
      </c>
      <c r="G46" s="352">
        <v>48</v>
      </c>
      <c r="H46" s="332"/>
    </row>
    <row r="47" spans="1:8" x14ac:dyDescent="0.3">
      <c r="A47" s="351">
        <v>56</v>
      </c>
      <c r="B47" s="352">
        <v>65</v>
      </c>
      <c r="C47" s="352">
        <v>74</v>
      </c>
      <c r="D47" s="352">
        <v>60</v>
      </c>
      <c r="E47" s="352">
        <v>58</v>
      </c>
      <c r="F47" s="352">
        <v>98</v>
      </c>
      <c r="G47" s="352">
        <v>37</v>
      </c>
      <c r="H47" s="332"/>
    </row>
    <row r="48" spans="1:8" x14ac:dyDescent="0.3">
      <c r="A48" s="351">
        <v>57</v>
      </c>
      <c r="B48" s="352">
        <v>67</v>
      </c>
      <c r="C48" s="352">
        <v>46</v>
      </c>
      <c r="D48" s="352">
        <v>72</v>
      </c>
      <c r="E48" s="352">
        <v>72</v>
      </c>
      <c r="F48" s="352">
        <v>98</v>
      </c>
      <c r="G48" s="352">
        <v>49</v>
      </c>
      <c r="H48" s="332"/>
    </row>
    <row r="49" spans="1:8" x14ac:dyDescent="0.3">
      <c r="A49" s="351">
        <v>58</v>
      </c>
      <c r="B49" s="352">
        <v>67</v>
      </c>
      <c r="C49" s="352">
        <v>46</v>
      </c>
      <c r="D49" s="352">
        <v>72</v>
      </c>
      <c r="E49" s="352">
        <v>72</v>
      </c>
      <c r="F49" s="352">
        <v>98</v>
      </c>
      <c r="G49" s="352">
        <v>49</v>
      </c>
      <c r="H49" s="332"/>
    </row>
    <row r="50" spans="1:8" x14ac:dyDescent="0.3">
      <c r="A50" s="351">
        <v>59</v>
      </c>
      <c r="B50" s="352">
        <v>62</v>
      </c>
      <c r="C50" s="352">
        <v>39</v>
      </c>
      <c r="D50" s="352">
        <v>69</v>
      </c>
      <c r="E50" s="352">
        <v>55</v>
      </c>
      <c r="F50" s="352">
        <v>91</v>
      </c>
      <c r="G50" s="352">
        <v>54</v>
      </c>
      <c r="H50" s="332"/>
    </row>
    <row r="51" spans="1:8" x14ac:dyDescent="0.3">
      <c r="A51" s="351">
        <v>60</v>
      </c>
      <c r="B51" s="352">
        <v>69</v>
      </c>
      <c r="C51" s="352">
        <v>63</v>
      </c>
      <c r="D51" s="352">
        <v>63</v>
      </c>
      <c r="E51" s="352">
        <v>72</v>
      </c>
      <c r="F51" s="352">
        <v>99</v>
      </c>
      <c r="G51" s="352">
        <v>48</v>
      </c>
      <c r="H51" s="332"/>
    </row>
    <row r="52" spans="1:8" x14ac:dyDescent="0.3">
      <c r="A52" s="351">
        <v>61</v>
      </c>
      <c r="B52" s="352">
        <v>66</v>
      </c>
      <c r="C52" s="352">
        <v>52</v>
      </c>
      <c r="D52" s="352">
        <v>62</v>
      </c>
      <c r="E52" s="352">
        <v>75</v>
      </c>
      <c r="F52" s="352">
        <v>95</v>
      </c>
      <c r="G52" s="352">
        <v>45</v>
      </c>
      <c r="H52" s="332"/>
    </row>
    <row r="53" spans="1:8" x14ac:dyDescent="0.3">
      <c r="A53" s="351">
        <v>62</v>
      </c>
      <c r="B53" s="352">
        <v>61</v>
      </c>
      <c r="C53" s="352">
        <v>38</v>
      </c>
      <c r="D53" s="352">
        <v>84</v>
      </c>
      <c r="E53" s="352">
        <v>40</v>
      </c>
      <c r="F53" s="352">
        <v>68</v>
      </c>
      <c r="G53" s="352">
        <v>74</v>
      </c>
      <c r="H53" s="332"/>
    </row>
    <row r="54" spans="1:8" x14ac:dyDescent="0.3">
      <c r="A54" s="351">
        <v>63</v>
      </c>
      <c r="B54" s="352">
        <v>61</v>
      </c>
      <c r="C54" s="352">
        <v>51</v>
      </c>
      <c r="D54" s="352">
        <v>47</v>
      </c>
      <c r="E54" s="352">
        <v>70</v>
      </c>
      <c r="F54" s="352">
        <v>91</v>
      </c>
      <c r="G54" s="352">
        <v>44</v>
      </c>
      <c r="H54" s="332"/>
    </row>
    <row r="55" spans="1:8" x14ac:dyDescent="0.3">
      <c r="A55" s="351">
        <v>65</v>
      </c>
      <c r="B55" s="352">
        <v>53</v>
      </c>
      <c r="C55" s="352">
        <v>20</v>
      </c>
      <c r="D55" s="352">
        <v>72</v>
      </c>
      <c r="E55" s="352">
        <v>45</v>
      </c>
      <c r="F55" s="352">
        <v>87</v>
      </c>
      <c r="G55" s="352">
        <v>43</v>
      </c>
      <c r="H55" s="332"/>
    </row>
    <row r="56" spans="1:8" x14ac:dyDescent="0.3">
      <c r="A56" s="351">
        <v>66</v>
      </c>
      <c r="B56" s="352">
        <v>66</v>
      </c>
      <c r="C56" s="352">
        <v>69</v>
      </c>
      <c r="D56" s="352">
        <v>40</v>
      </c>
      <c r="E56" s="352">
        <v>84</v>
      </c>
      <c r="F56" s="352">
        <v>92</v>
      </c>
      <c r="G56" s="352">
        <v>45</v>
      </c>
      <c r="H56" s="332"/>
    </row>
    <row r="57" spans="1:8" x14ac:dyDescent="0.3">
      <c r="A57" s="351">
        <v>67</v>
      </c>
      <c r="B57" s="352">
        <v>58</v>
      </c>
      <c r="C57" s="352">
        <v>22</v>
      </c>
      <c r="D57" s="352">
        <v>73</v>
      </c>
      <c r="E57" s="352">
        <v>59</v>
      </c>
      <c r="F57" s="352">
        <v>95</v>
      </c>
      <c r="G57" s="352">
        <v>42</v>
      </c>
      <c r="H57" s="332"/>
    </row>
    <row r="58" spans="1:8" x14ac:dyDescent="0.3">
      <c r="A58" s="351">
        <v>68</v>
      </c>
      <c r="B58" s="352">
        <v>58</v>
      </c>
      <c r="C58" s="352">
        <v>22</v>
      </c>
      <c r="D58" s="352">
        <v>73</v>
      </c>
      <c r="E58" s="352">
        <v>59</v>
      </c>
      <c r="F58" s="352">
        <v>95</v>
      </c>
      <c r="G58" s="352">
        <v>42</v>
      </c>
      <c r="H58" s="332"/>
    </row>
    <row r="59" spans="1:8" x14ac:dyDescent="0.3">
      <c r="A59" s="351">
        <v>74</v>
      </c>
      <c r="B59" s="352">
        <v>74</v>
      </c>
      <c r="C59" s="352">
        <v>81</v>
      </c>
      <c r="D59" s="352">
        <v>59</v>
      </c>
      <c r="E59" s="352">
        <v>78</v>
      </c>
      <c r="F59" s="352">
        <v>93</v>
      </c>
      <c r="G59" s="352">
        <v>57</v>
      </c>
      <c r="H59" s="332"/>
    </row>
    <row r="60" spans="1:8" x14ac:dyDescent="0.3">
      <c r="A60" s="351">
        <v>76</v>
      </c>
      <c r="B60" s="352">
        <v>60</v>
      </c>
      <c r="C60" s="352">
        <v>72</v>
      </c>
      <c r="D60" s="352">
        <v>42</v>
      </c>
      <c r="E60" s="352">
        <v>51</v>
      </c>
      <c r="F60" s="352">
        <v>97</v>
      </c>
      <c r="G60" s="352">
        <v>37</v>
      </c>
      <c r="H60" s="332"/>
    </row>
    <row r="61" spans="1:8" x14ac:dyDescent="0.3">
      <c r="A61" s="351">
        <v>77</v>
      </c>
      <c r="B61" s="352">
        <v>69</v>
      </c>
      <c r="C61" s="352">
        <v>74</v>
      </c>
      <c r="D61" s="352">
        <v>52</v>
      </c>
      <c r="E61" s="352">
        <v>70</v>
      </c>
      <c r="F61" s="352">
        <v>98</v>
      </c>
      <c r="G61" s="352">
        <v>49</v>
      </c>
      <c r="H61" s="332"/>
    </row>
    <row r="62" spans="1:8" x14ac:dyDescent="0.3">
      <c r="A62" s="351">
        <v>78</v>
      </c>
      <c r="B62" s="352">
        <v>58</v>
      </c>
      <c r="C62" s="352">
        <v>36</v>
      </c>
      <c r="D62" s="352">
        <v>68</v>
      </c>
      <c r="E62" s="352">
        <v>55</v>
      </c>
      <c r="F62" s="352">
        <v>94</v>
      </c>
      <c r="G62" s="352">
        <v>39</v>
      </c>
      <c r="H62" s="332"/>
    </row>
    <row r="63" spans="1:8" x14ac:dyDescent="0.3">
      <c r="A63" s="351">
        <v>81</v>
      </c>
      <c r="B63" s="352">
        <v>61</v>
      </c>
      <c r="C63" s="352">
        <v>58</v>
      </c>
      <c r="D63" s="352">
        <v>48</v>
      </c>
      <c r="E63" s="352">
        <v>69</v>
      </c>
      <c r="F63" s="352">
        <v>91</v>
      </c>
      <c r="G63" s="352">
        <v>41</v>
      </c>
      <c r="H63" s="332"/>
    </row>
    <row r="64" spans="1:8" x14ac:dyDescent="0.3">
      <c r="A64" s="351">
        <v>82</v>
      </c>
      <c r="B64" s="352">
        <v>61</v>
      </c>
      <c r="C64" s="352">
        <v>58</v>
      </c>
      <c r="D64" s="352">
        <v>48</v>
      </c>
      <c r="E64" s="352">
        <v>69</v>
      </c>
      <c r="F64" s="352">
        <v>91</v>
      </c>
      <c r="G64" s="352">
        <v>41</v>
      </c>
      <c r="H64" s="332"/>
    </row>
    <row r="65" spans="1:8" x14ac:dyDescent="0.3">
      <c r="A65" s="351">
        <v>83</v>
      </c>
      <c r="B65" s="352">
        <v>61</v>
      </c>
      <c r="C65" s="352">
        <v>58</v>
      </c>
      <c r="D65" s="352">
        <v>48</v>
      </c>
      <c r="E65" s="352">
        <v>69</v>
      </c>
      <c r="F65" s="352">
        <v>91</v>
      </c>
      <c r="G65" s="352">
        <v>41</v>
      </c>
      <c r="H65" s="332"/>
    </row>
    <row r="66" spans="1:8" x14ac:dyDescent="0.3">
      <c r="A66" s="351">
        <v>84</v>
      </c>
      <c r="B66" s="352">
        <v>61</v>
      </c>
      <c r="C66" s="352">
        <v>58</v>
      </c>
      <c r="D66" s="352">
        <v>48</v>
      </c>
      <c r="E66" s="352">
        <v>69</v>
      </c>
      <c r="F66" s="352">
        <v>91</v>
      </c>
      <c r="G66" s="352">
        <v>41</v>
      </c>
      <c r="H66" s="332"/>
    </row>
    <row r="67" spans="1:8" x14ac:dyDescent="0.3">
      <c r="A67" s="351">
        <v>1</v>
      </c>
      <c r="B67" s="352">
        <v>70</v>
      </c>
      <c r="C67" s="352">
        <v>80</v>
      </c>
      <c r="D67" s="352">
        <v>48</v>
      </c>
      <c r="E67" s="352">
        <v>63</v>
      </c>
      <c r="F67" s="352">
        <v>93</v>
      </c>
      <c r="G67" s="352">
        <v>63</v>
      </c>
      <c r="H67" s="332"/>
    </row>
    <row r="68" spans="1:8" x14ac:dyDescent="0.3">
      <c r="A68" s="353">
        <v>2</v>
      </c>
      <c r="B68" s="354">
        <v>61</v>
      </c>
      <c r="C68" s="354">
        <v>78</v>
      </c>
      <c r="D68" s="354">
        <v>29</v>
      </c>
      <c r="E68" s="354">
        <v>53</v>
      </c>
      <c r="F68" s="354">
        <v>97</v>
      </c>
      <c r="G68" s="354">
        <v>45</v>
      </c>
      <c r="H68" s="332" t="s">
        <v>319</v>
      </c>
    </row>
    <row r="69" spans="1:8" x14ac:dyDescent="0.3">
      <c r="A69" s="355">
        <v>3</v>
      </c>
      <c r="B69" s="356">
        <v>54</v>
      </c>
      <c r="C69" s="356">
        <v>77</v>
      </c>
      <c r="D69" s="356">
        <v>11</v>
      </c>
      <c r="E69" s="356">
        <v>56</v>
      </c>
      <c r="F69" s="356">
        <v>90</v>
      </c>
      <c r="G69" s="356">
        <v>35</v>
      </c>
      <c r="H69" s="332" t="s">
        <v>320</v>
      </c>
    </row>
    <row r="70" spans="1:8" x14ac:dyDescent="0.3">
      <c r="A70" s="351">
        <v>4</v>
      </c>
      <c r="B70" s="352">
        <v>54</v>
      </c>
      <c r="C70" s="352">
        <v>77</v>
      </c>
      <c r="D70" s="352">
        <v>11</v>
      </c>
      <c r="E70" s="352">
        <v>56</v>
      </c>
      <c r="F70" s="352">
        <v>90</v>
      </c>
      <c r="G70" s="352">
        <v>35</v>
      </c>
      <c r="H70" s="332"/>
    </row>
    <row r="71" spans="1:8" x14ac:dyDescent="0.3">
      <c r="A71" s="351">
        <v>5</v>
      </c>
      <c r="B71" s="352">
        <v>65</v>
      </c>
      <c r="C71" s="352">
        <v>74</v>
      </c>
      <c r="D71" s="352">
        <v>38</v>
      </c>
      <c r="E71" s="352">
        <v>63</v>
      </c>
      <c r="F71" s="352">
        <v>98</v>
      </c>
      <c r="G71" s="352">
        <v>54</v>
      </c>
      <c r="H71" s="332"/>
    </row>
    <row r="72" spans="1:8" x14ac:dyDescent="0.3">
      <c r="A72" s="351">
        <v>40</v>
      </c>
      <c r="B72" s="352">
        <v>69</v>
      </c>
      <c r="C72" s="352">
        <v>71</v>
      </c>
      <c r="D72" s="352">
        <v>43</v>
      </c>
      <c r="E72" s="352">
        <v>88</v>
      </c>
      <c r="F72" s="352">
        <v>100</v>
      </c>
      <c r="G72" s="352">
        <v>45</v>
      </c>
      <c r="H72" s="332"/>
    </row>
    <row r="73" spans="1:8" x14ac:dyDescent="0.3">
      <c r="A73" s="351">
        <v>42</v>
      </c>
      <c r="B73" s="352">
        <v>74</v>
      </c>
      <c r="C73" s="352">
        <v>75</v>
      </c>
      <c r="D73" s="352">
        <v>58</v>
      </c>
      <c r="E73" s="352">
        <v>88</v>
      </c>
      <c r="F73" s="352">
        <v>93</v>
      </c>
      <c r="G73" s="352">
        <v>57</v>
      </c>
      <c r="H73" s="332"/>
    </row>
    <row r="74" spans="1:8" x14ac:dyDescent="0.3">
      <c r="A74" s="351">
        <v>43</v>
      </c>
      <c r="B74" s="352">
        <v>74</v>
      </c>
      <c r="C74" s="352">
        <v>75</v>
      </c>
      <c r="D74" s="352">
        <v>58</v>
      </c>
      <c r="E74" s="352">
        <v>88</v>
      </c>
      <c r="F74" s="352">
        <v>93</v>
      </c>
      <c r="G74" s="352">
        <v>57</v>
      </c>
      <c r="H74" s="332"/>
    </row>
    <row r="75" spans="1:8" x14ac:dyDescent="0.3">
      <c r="A75" s="351">
        <v>44</v>
      </c>
      <c r="B75" s="352">
        <v>74</v>
      </c>
      <c r="C75" s="352">
        <v>75</v>
      </c>
      <c r="D75" s="352">
        <v>58</v>
      </c>
      <c r="E75" s="352">
        <v>88</v>
      </c>
      <c r="F75" s="352">
        <v>93</v>
      </c>
      <c r="G75" s="352">
        <v>57</v>
      </c>
      <c r="H75" s="332"/>
    </row>
    <row r="76" spans="1:8" x14ac:dyDescent="0.3">
      <c r="A76" s="351">
        <v>46</v>
      </c>
      <c r="B76" s="352">
        <v>74</v>
      </c>
      <c r="C76" s="352">
        <v>75</v>
      </c>
      <c r="D76" s="352">
        <v>58</v>
      </c>
      <c r="E76" s="352">
        <v>88</v>
      </c>
      <c r="F76" s="352">
        <v>93</v>
      </c>
      <c r="G76" s="352">
        <v>57</v>
      </c>
      <c r="H76" s="332"/>
    </row>
    <row r="77" spans="1:8" x14ac:dyDescent="0.3">
      <c r="A77" s="351">
        <v>69</v>
      </c>
      <c r="B77" s="352">
        <v>58</v>
      </c>
      <c r="C77" s="352">
        <v>22</v>
      </c>
      <c r="D77" s="352">
        <v>73</v>
      </c>
      <c r="E77" s="352">
        <v>59</v>
      </c>
      <c r="F77" s="352">
        <v>95</v>
      </c>
      <c r="G77" s="352">
        <v>42</v>
      </c>
      <c r="H77" s="332"/>
    </row>
    <row r="78" spans="1:8" x14ac:dyDescent="0.3">
      <c r="A78" s="351">
        <v>70</v>
      </c>
      <c r="B78" s="352">
        <v>55</v>
      </c>
      <c r="C78" s="352">
        <v>25</v>
      </c>
      <c r="D78" s="352">
        <v>63</v>
      </c>
      <c r="E78" s="352">
        <v>45</v>
      </c>
      <c r="F78" s="352">
        <v>98</v>
      </c>
      <c r="G78" s="352">
        <v>44</v>
      </c>
      <c r="H78" s="332"/>
    </row>
    <row r="79" spans="1:8" x14ac:dyDescent="0.3">
      <c r="A79" s="351">
        <v>71</v>
      </c>
      <c r="B79" s="352">
        <v>57</v>
      </c>
      <c r="C79" s="352">
        <v>40</v>
      </c>
      <c r="D79" s="352">
        <v>67</v>
      </c>
      <c r="E79" s="352">
        <v>55</v>
      </c>
      <c r="F79" s="352">
        <v>91</v>
      </c>
      <c r="G79" s="352">
        <v>31</v>
      </c>
      <c r="H79" s="332"/>
    </row>
    <row r="80" spans="1:8" x14ac:dyDescent="0.3">
      <c r="A80" s="351">
        <v>72</v>
      </c>
      <c r="B80" s="352">
        <v>74</v>
      </c>
      <c r="C80" s="352">
        <v>84</v>
      </c>
      <c r="D80" s="352">
        <v>70</v>
      </c>
      <c r="E80" s="352">
        <v>76</v>
      </c>
      <c r="F80" s="352">
        <v>96</v>
      </c>
      <c r="G80" s="352">
        <v>44</v>
      </c>
      <c r="H80" s="332"/>
    </row>
    <row r="81" spans="1:8" x14ac:dyDescent="0.3">
      <c r="A81" s="351">
        <v>73</v>
      </c>
      <c r="B81" s="352">
        <v>74</v>
      </c>
      <c r="C81" s="352">
        <v>81</v>
      </c>
      <c r="D81" s="352">
        <v>59</v>
      </c>
      <c r="E81" s="352">
        <v>78</v>
      </c>
      <c r="F81" s="352">
        <v>93</v>
      </c>
      <c r="G81" s="352">
        <v>57</v>
      </c>
      <c r="H81" s="332"/>
    </row>
    <row r="82" spans="1:8" x14ac:dyDescent="0.3">
      <c r="A82" s="351">
        <v>75</v>
      </c>
      <c r="B82" s="352">
        <v>69</v>
      </c>
      <c r="C82" s="352">
        <v>74</v>
      </c>
      <c r="D82" s="352">
        <v>52</v>
      </c>
      <c r="E82" s="352">
        <v>70</v>
      </c>
      <c r="F82" s="352">
        <v>98</v>
      </c>
      <c r="G82" s="352">
        <v>49</v>
      </c>
      <c r="H82" s="332"/>
    </row>
    <row r="83" spans="1:8" x14ac:dyDescent="0.3">
      <c r="A83" s="351">
        <v>79</v>
      </c>
      <c r="B83" s="352">
        <v>58</v>
      </c>
      <c r="C83" s="352">
        <v>36</v>
      </c>
      <c r="D83" s="352">
        <v>68</v>
      </c>
      <c r="E83" s="352">
        <v>55</v>
      </c>
      <c r="F83" s="352">
        <v>94</v>
      </c>
      <c r="G83" s="352">
        <v>39</v>
      </c>
      <c r="H83" s="332"/>
    </row>
    <row r="84" spans="1:8" x14ac:dyDescent="0.3">
      <c r="A84" s="351">
        <v>80</v>
      </c>
      <c r="B84" s="352">
        <v>57</v>
      </c>
      <c r="C84" s="352">
        <v>40</v>
      </c>
      <c r="D84" s="352">
        <v>67</v>
      </c>
      <c r="E84" s="352">
        <v>55</v>
      </c>
      <c r="F84" s="352">
        <v>91</v>
      </c>
      <c r="G84" s="352">
        <v>31</v>
      </c>
      <c r="H84" s="332"/>
    </row>
    <row r="85" spans="1:8" x14ac:dyDescent="0.3">
      <c r="A85" s="357"/>
      <c r="B85" s="357"/>
      <c r="C85" s="357"/>
      <c r="D85" s="357"/>
      <c r="E85" s="357"/>
      <c r="F85" s="357"/>
      <c r="G85" s="357"/>
      <c r="H85" s="332"/>
    </row>
    <row r="86" spans="1:8" x14ac:dyDescent="0.3">
      <c r="A86" s="357"/>
      <c r="B86" s="357"/>
      <c r="C86" s="358"/>
      <c r="D86" s="359"/>
      <c r="E86" s="359"/>
      <c r="F86" s="358"/>
      <c r="G86" s="359"/>
      <c r="H86" s="332"/>
    </row>
  </sheetData>
  <mergeCells count="2">
    <mergeCell ref="A1:G1"/>
    <mergeCell ref="A2:A3"/>
  </mergeCells>
  <pageMargins left="0.7" right="0.7" top="0.75" bottom="0.75" header="0.3" footer="0.3"/>
  <pageSetup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workbookViewId="0">
      <selection activeCell="D19" sqref="D19"/>
    </sheetView>
  </sheetViews>
  <sheetFormatPr defaultRowHeight="14.4" x14ac:dyDescent="0.3"/>
  <cols>
    <col min="1" max="1" width="19.33203125" customWidth="1"/>
    <col min="2" max="2" width="36.88671875" bestFit="1" customWidth="1"/>
    <col min="3" max="4" width="65.88671875" bestFit="1" customWidth="1"/>
  </cols>
  <sheetData>
    <row r="1" spans="1:4" ht="18" x14ac:dyDescent="0.35">
      <c r="A1" s="367" t="s">
        <v>374</v>
      </c>
    </row>
    <row r="2" spans="1:4" x14ac:dyDescent="0.3">
      <c r="A2" t="s">
        <v>382</v>
      </c>
    </row>
    <row r="3" spans="1:4" x14ac:dyDescent="0.3">
      <c r="A3" t="s">
        <v>391</v>
      </c>
    </row>
    <row r="4" spans="1:4" x14ac:dyDescent="0.3">
      <c r="A4" t="s">
        <v>392</v>
      </c>
    </row>
    <row r="6" spans="1:4" x14ac:dyDescent="0.3">
      <c r="A6" s="368" t="s">
        <v>1</v>
      </c>
      <c r="B6" s="368" t="s">
        <v>2</v>
      </c>
      <c r="C6" s="368" t="s">
        <v>170</v>
      </c>
      <c r="D6" s="370" t="s">
        <v>356</v>
      </c>
    </row>
    <row r="7" spans="1:4" x14ac:dyDescent="0.3">
      <c r="A7" s="467" t="s">
        <v>201</v>
      </c>
      <c r="B7" s="467" t="s">
        <v>113</v>
      </c>
      <c r="C7" s="392" t="s">
        <v>169</v>
      </c>
      <c r="D7" s="393" t="s">
        <v>370</v>
      </c>
    </row>
    <row r="8" spans="1:4" x14ac:dyDescent="0.3">
      <c r="A8" s="468"/>
      <c r="B8" s="468"/>
      <c r="C8" s="392" t="s">
        <v>271</v>
      </c>
      <c r="D8" s="393" t="s">
        <v>358</v>
      </c>
    </row>
    <row r="9" spans="1:4" x14ac:dyDescent="0.3">
      <c r="A9" s="469"/>
      <c r="B9" s="469"/>
      <c r="C9" s="392" t="s">
        <v>302</v>
      </c>
      <c r="D9" s="393" t="s">
        <v>370</v>
      </c>
    </row>
    <row r="10" spans="1:4" x14ac:dyDescent="0.3">
      <c r="A10" s="470" t="s">
        <v>200</v>
      </c>
      <c r="B10" s="470" t="s">
        <v>5</v>
      </c>
      <c r="C10" s="394" t="s">
        <v>6</v>
      </c>
      <c r="D10" s="393" t="s">
        <v>357</v>
      </c>
    </row>
    <row r="11" spans="1:4" ht="28.8" x14ac:dyDescent="0.3">
      <c r="A11" s="471"/>
      <c r="B11" s="471"/>
      <c r="C11" s="394" t="s">
        <v>7</v>
      </c>
      <c r="D11" s="406" t="s">
        <v>403</v>
      </c>
    </row>
    <row r="12" spans="1:4" x14ac:dyDescent="0.3">
      <c r="A12" s="472" t="s">
        <v>20</v>
      </c>
      <c r="B12" s="472" t="s">
        <v>21</v>
      </c>
      <c r="C12" s="395" t="s">
        <v>19</v>
      </c>
      <c r="D12" s="393" t="s">
        <v>375</v>
      </c>
    </row>
    <row r="13" spans="1:4" x14ac:dyDescent="0.3">
      <c r="A13" s="473"/>
      <c r="B13" s="473"/>
      <c r="C13" s="396" t="s">
        <v>353</v>
      </c>
      <c r="D13" s="393" t="s">
        <v>375</v>
      </c>
    </row>
    <row r="14" spans="1:4" x14ac:dyDescent="0.3">
      <c r="A14" s="473"/>
      <c r="B14" s="472" t="s">
        <v>196</v>
      </c>
      <c r="C14" s="397" t="s">
        <v>43</v>
      </c>
      <c r="D14" s="393" t="s">
        <v>357</v>
      </c>
    </row>
    <row r="15" spans="1:4" x14ac:dyDescent="0.3">
      <c r="A15" s="473"/>
      <c r="B15" s="473"/>
      <c r="C15" s="398" t="s">
        <v>79</v>
      </c>
      <c r="D15" s="393" t="s">
        <v>357</v>
      </c>
    </row>
    <row r="16" spans="1:4" ht="33.75" customHeight="1" x14ac:dyDescent="0.3">
      <c r="A16" s="473"/>
      <c r="B16" s="474"/>
      <c r="C16" s="399" t="s">
        <v>195</v>
      </c>
      <c r="D16" s="406" t="s">
        <v>376</v>
      </c>
    </row>
    <row r="17" spans="1:4" x14ac:dyDescent="0.3">
      <c r="A17" s="473"/>
      <c r="B17" s="401" t="s">
        <v>97</v>
      </c>
      <c r="C17" s="402" t="s">
        <v>115</v>
      </c>
      <c r="D17" s="403" t="s">
        <v>359</v>
      </c>
    </row>
    <row r="18" spans="1:4" ht="28.8" x14ac:dyDescent="0.3">
      <c r="A18" s="473"/>
      <c r="B18" s="472" t="s">
        <v>45</v>
      </c>
      <c r="C18" s="404" t="s">
        <v>46</v>
      </c>
      <c r="D18" s="406" t="s">
        <v>401</v>
      </c>
    </row>
    <row r="19" spans="1:4" ht="28.8" x14ac:dyDescent="0.3">
      <c r="A19" s="473"/>
      <c r="B19" s="473"/>
      <c r="C19" s="404" t="s">
        <v>47</v>
      </c>
      <c r="D19" s="406" t="s">
        <v>401</v>
      </c>
    </row>
    <row r="20" spans="1:4" ht="28.8" x14ac:dyDescent="0.3">
      <c r="A20" s="473"/>
      <c r="B20" s="473"/>
      <c r="C20" s="404" t="s">
        <v>173</v>
      </c>
      <c r="D20" s="406" t="s">
        <v>401</v>
      </c>
    </row>
    <row r="21" spans="1:4" ht="43.2" x14ac:dyDescent="0.3">
      <c r="A21" s="473"/>
      <c r="B21" s="474"/>
      <c r="C21" s="414" t="s">
        <v>136</v>
      </c>
      <c r="D21" s="406" t="s">
        <v>402</v>
      </c>
    </row>
    <row r="22" spans="1:4" ht="15.6" x14ac:dyDescent="0.3">
      <c r="A22" s="473"/>
      <c r="B22" s="472" t="s">
        <v>44</v>
      </c>
      <c r="C22" s="404" t="s">
        <v>295</v>
      </c>
      <c r="D22" s="393" t="s">
        <v>357</v>
      </c>
    </row>
    <row r="23" spans="1:4" ht="15.6" x14ac:dyDescent="0.3">
      <c r="A23" s="473"/>
      <c r="B23" s="473"/>
      <c r="C23" s="404" t="s">
        <v>297</v>
      </c>
      <c r="D23" s="393" t="s">
        <v>357</v>
      </c>
    </row>
    <row r="24" spans="1:4" ht="15.6" x14ac:dyDescent="0.3">
      <c r="A24" s="473"/>
      <c r="B24" s="473"/>
      <c r="C24" s="404" t="s">
        <v>189</v>
      </c>
      <c r="D24" s="393" t="s">
        <v>357</v>
      </c>
    </row>
    <row r="25" spans="1:4" ht="28.8" x14ac:dyDescent="0.3">
      <c r="A25" s="474"/>
      <c r="B25" s="473"/>
      <c r="C25" s="405" t="s">
        <v>377</v>
      </c>
      <c r="D25" s="406" t="s">
        <v>378</v>
      </c>
    </row>
    <row r="26" spans="1:4" x14ac:dyDescent="0.3">
      <c r="A26" s="463" t="s">
        <v>51</v>
      </c>
      <c r="B26" s="407" t="s">
        <v>74</v>
      </c>
      <c r="C26" s="407" t="s">
        <v>272</v>
      </c>
      <c r="D26" s="400" t="s">
        <v>383</v>
      </c>
    </row>
    <row r="27" spans="1:4" ht="28.8" x14ac:dyDescent="0.3">
      <c r="A27" s="464"/>
      <c r="B27" s="407" t="s">
        <v>280</v>
      </c>
      <c r="C27" s="407" t="s">
        <v>281</v>
      </c>
      <c r="D27" s="400" t="s">
        <v>360</v>
      </c>
    </row>
    <row r="28" spans="1:4" ht="28.8" x14ac:dyDescent="0.3">
      <c r="A28" s="464"/>
      <c r="B28" s="407" t="s">
        <v>293</v>
      </c>
      <c r="C28" s="407" t="s">
        <v>294</v>
      </c>
      <c r="D28" s="406" t="s">
        <v>379</v>
      </c>
    </row>
    <row r="29" spans="1:4" ht="28.8" x14ac:dyDescent="0.3">
      <c r="A29" s="465" t="s">
        <v>52</v>
      </c>
      <c r="B29" s="408" t="s">
        <v>129</v>
      </c>
      <c r="C29" s="408" t="s">
        <v>226</v>
      </c>
      <c r="D29" s="400" t="s">
        <v>361</v>
      </c>
    </row>
    <row r="30" spans="1:4" ht="28.8" x14ac:dyDescent="0.3">
      <c r="A30" s="466"/>
      <c r="B30" s="409" t="s">
        <v>70</v>
      </c>
      <c r="C30" s="409" t="s">
        <v>227</v>
      </c>
      <c r="D30" s="400" t="s">
        <v>361</v>
      </c>
    </row>
    <row r="32" spans="1:4" x14ac:dyDescent="0.3">
      <c r="A32" s="369" t="s">
        <v>355</v>
      </c>
    </row>
  </sheetData>
  <mergeCells count="11">
    <mergeCell ref="A26:A28"/>
    <mergeCell ref="A29:A30"/>
    <mergeCell ref="B7:B9"/>
    <mergeCell ref="B10:B11"/>
    <mergeCell ref="A12:A25"/>
    <mergeCell ref="B12:B13"/>
    <mergeCell ref="B14:B16"/>
    <mergeCell ref="B18:B21"/>
    <mergeCell ref="B22:B25"/>
    <mergeCell ref="A7:A9"/>
    <mergeCell ref="A10:A11"/>
  </mergeCells>
  <conditionalFormatting sqref="A6:B6 A29:B29 A12:B12 B30 B27:B28 A10 B18 B22">
    <cfRule type="beginsWith" dxfId="83" priority="19" stopIfTrue="1" operator="beginsWith" text="Functioning At Risk">
      <formula>LEFT(A6,LEN("Functioning At Risk"))="Functioning At Risk"</formula>
    </cfRule>
    <cfRule type="beginsWith" dxfId="82" priority="20" stopIfTrue="1" operator="beginsWith" text="Not Functioning">
      <formula>LEFT(A6,LEN("Not Functioning"))="Not Functioning"</formula>
    </cfRule>
    <cfRule type="containsText" dxfId="81" priority="21" operator="containsText" text="Functioning">
      <formula>NOT(ISERROR(SEARCH("Functioning",A6)))</formula>
    </cfRule>
  </conditionalFormatting>
  <conditionalFormatting sqref="B14">
    <cfRule type="beginsWith" dxfId="80" priority="16" stopIfTrue="1" operator="beginsWith" text="Functioning At Risk">
      <formula>LEFT(B14,LEN("Functioning At Risk"))="Functioning At Risk"</formula>
    </cfRule>
    <cfRule type="beginsWith" dxfId="79" priority="17" stopIfTrue="1" operator="beginsWith" text="Not Functioning">
      <formula>LEFT(B14,LEN("Not Functioning"))="Not Functioning"</formula>
    </cfRule>
    <cfRule type="containsText" dxfId="78" priority="18" operator="containsText" text="Functioning">
      <formula>NOT(ISERROR(SEARCH("Functioning",B14)))</formula>
    </cfRule>
  </conditionalFormatting>
  <conditionalFormatting sqref="B26">
    <cfRule type="beginsWith" dxfId="77" priority="13" stopIfTrue="1" operator="beginsWith" text="Functioning At Risk">
      <formula>LEFT(B26,LEN("Functioning At Risk"))="Functioning At Risk"</formula>
    </cfRule>
    <cfRule type="beginsWith" dxfId="76" priority="14" stopIfTrue="1" operator="beginsWith" text="Not Functioning">
      <formula>LEFT(B26,LEN("Not Functioning"))="Not Functioning"</formula>
    </cfRule>
    <cfRule type="containsText" dxfId="75" priority="15" operator="containsText" text="Functioning">
      <formula>NOT(ISERROR(SEARCH("Functioning",B26)))</formula>
    </cfRule>
  </conditionalFormatting>
  <conditionalFormatting sqref="A26">
    <cfRule type="beginsWith" dxfId="74" priority="10" stopIfTrue="1" operator="beginsWith" text="Functioning At Risk">
      <formula>LEFT(A26,LEN("Functioning At Risk"))="Functioning At Risk"</formula>
    </cfRule>
    <cfRule type="beginsWith" dxfId="73" priority="11" stopIfTrue="1" operator="beginsWith" text="Not Functioning">
      <formula>LEFT(A26,LEN("Not Functioning"))="Not Functioning"</formula>
    </cfRule>
    <cfRule type="containsText" dxfId="72" priority="12" operator="containsText" text="Functioning">
      <formula>NOT(ISERROR(SEARCH("Functioning",A26)))</formula>
    </cfRule>
  </conditionalFormatting>
  <conditionalFormatting sqref="B17">
    <cfRule type="beginsWith" dxfId="71" priority="7" stopIfTrue="1" operator="beginsWith" text="Functioning At Risk">
      <formula>LEFT(B17,LEN("Functioning At Risk"))="Functioning At Risk"</formula>
    </cfRule>
    <cfRule type="beginsWith" dxfId="70" priority="8" stopIfTrue="1" operator="beginsWith" text="Not Functioning">
      <formula>LEFT(B17,LEN("Not Functioning"))="Not Functioning"</formula>
    </cfRule>
    <cfRule type="containsText" dxfId="69" priority="9" operator="containsText" text="Functioning">
      <formula>NOT(ISERROR(SEARCH("Functioning",B17)))</formula>
    </cfRule>
  </conditionalFormatting>
  <conditionalFormatting sqref="C6 C27:C30 C25">
    <cfRule type="beginsWith" dxfId="68" priority="4" stopIfTrue="1" operator="beginsWith" text="Functioning At Risk">
      <formula>LEFT(C6,LEN("Functioning At Risk"))="Functioning At Risk"</formula>
    </cfRule>
    <cfRule type="beginsWith" dxfId="67" priority="5" stopIfTrue="1" operator="beginsWith" text="Not Functioning">
      <formula>LEFT(C6,LEN("Not Functioning"))="Not Functioning"</formula>
    </cfRule>
    <cfRule type="containsText" dxfId="66" priority="6" operator="containsText" text="Functioning">
      <formula>NOT(ISERROR(SEARCH("Functioning",C6)))</formula>
    </cfRule>
  </conditionalFormatting>
  <conditionalFormatting sqref="C26">
    <cfRule type="beginsWith" dxfId="65" priority="1" stopIfTrue="1" operator="beginsWith" text="Functioning At Risk">
      <formula>LEFT(C26,LEN("Functioning At Risk"))="Functioning At Risk"</formula>
    </cfRule>
    <cfRule type="beginsWith" dxfId="64" priority="2" stopIfTrue="1" operator="beginsWith" text="Not Functioning">
      <formula>LEFT(C26,LEN("Not Functioning"))="Not Functioning"</formula>
    </cfRule>
    <cfRule type="containsText" dxfId="63" priority="3" operator="containsText" text="Functioning">
      <formula>NOT(ISERROR(SEARCH("Functioning",C26)))</formula>
    </cfRule>
  </conditionalFormatting>
  <pageMargins left="0.7" right="0.7" top="0.75" bottom="0.75" header="0.3" footer="0.3"/>
  <pageSetup scale="6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96"/>
  <sheetViews>
    <sheetView zoomScale="70" zoomScaleNormal="70" workbookViewId="0">
      <selection activeCell="B9" sqref="B9"/>
    </sheetView>
  </sheetViews>
  <sheetFormatPr defaultColWidth="8.88671875" defaultRowHeight="14.4" x14ac:dyDescent="0.3"/>
  <cols>
    <col min="1" max="1" width="40.5546875" style="42" bestFit="1" customWidth="1"/>
    <col min="2" max="2" width="36.44140625" style="42" customWidth="1"/>
    <col min="3" max="4" width="21.33203125" style="42" customWidth="1"/>
    <col min="5" max="5" width="13.88671875" style="42" customWidth="1"/>
    <col min="6" max="6" width="19.44140625" style="42" customWidth="1"/>
    <col min="7" max="7" width="12.33203125" style="42" customWidth="1"/>
    <col min="8" max="8" width="11.44140625" style="42" customWidth="1"/>
    <col min="9" max="9" width="15" style="42" customWidth="1"/>
    <col min="10" max="10" width="14.109375" style="42" customWidth="1"/>
    <col min="11" max="11" width="18.5546875" style="42" customWidth="1"/>
    <col min="12" max="12" width="13.6640625" style="42" customWidth="1"/>
    <col min="13" max="16384" width="8.88671875" style="42"/>
  </cols>
  <sheetData>
    <row r="1" spans="1:22" s="329" customFormat="1" x14ac:dyDescent="0.3">
      <c r="A1" s="328"/>
    </row>
    <row r="2" spans="1:22" x14ac:dyDescent="0.3">
      <c r="A2" s="43"/>
      <c r="V2"/>
    </row>
    <row r="3" spans="1:22" ht="21" x14ac:dyDescent="0.4">
      <c r="A3" s="528" t="s">
        <v>177</v>
      </c>
      <c r="B3" s="529"/>
      <c r="D3" s="484" t="s">
        <v>55</v>
      </c>
      <c r="E3" s="485"/>
      <c r="F3" s="485"/>
      <c r="G3" s="485"/>
      <c r="H3" s="485"/>
      <c r="I3" s="485"/>
      <c r="J3" s="486"/>
      <c r="V3"/>
    </row>
    <row r="4" spans="1:22" ht="15.6" x14ac:dyDescent="0.3">
      <c r="A4" s="530"/>
      <c r="B4" s="531"/>
      <c r="D4" s="522" t="s">
        <v>56</v>
      </c>
      <c r="E4" s="523"/>
      <c r="F4" s="523"/>
      <c r="G4" s="523"/>
      <c r="H4" s="523"/>
      <c r="I4" s="523"/>
      <c r="J4" s="524"/>
      <c r="V4"/>
    </row>
    <row r="5" spans="1:22" ht="19.2" customHeight="1" x14ac:dyDescent="0.3">
      <c r="A5" s="191" t="s">
        <v>98</v>
      </c>
      <c r="B5" s="13"/>
      <c r="D5" s="525" t="s">
        <v>122</v>
      </c>
      <c r="E5" s="526"/>
      <c r="F5" s="526"/>
      <c r="G5" s="526"/>
      <c r="H5" s="526"/>
      <c r="I5" s="526"/>
      <c r="J5" s="527"/>
      <c r="V5"/>
    </row>
    <row r="6" spans="1:22" ht="19.2" customHeight="1" x14ac:dyDescent="0.3">
      <c r="A6" s="191" t="s">
        <v>91</v>
      </c>
      <c r="B6" s="13"/>
      <c r="D6" s="535" t="s">
        <v>121</v>
      </c>
      <c r="E6" s="536"/>
      <c r="F6" s="536"/>
      <c r="G6" s="536"/>
      <c r="H6" s="536"/>
      <c r="I6" s="536"/>
      <c r="J6" s="537"/>
      <c r="V6"/>
    </row>
    <row r="7" spans="1:22" ht="19.2" customHeight="1" x14ac:dyDescent="0.3">
      <c r="A7" s="191" t="s">
        <v>50</v>
      </c>
      <c r="B7" s="53">
        <f>'Catchment Assessment'!D5</f>
        <v>0</v>
      </c>
      <c r="V7"/>
    </row>
    <row r="8" spans="1:22" ht="19.2" customHeight="1" x14ac:dyDescent="0.4">
      <c r="A8" s="191" t="s">
        <v>92</v>
      </c>
      <c r="B8" s="337"/>
      <c r="D8" s="484" t="s">
        <v>146</v>
      </c>
      <c r="E8" s="485"/>
      <c r="F8" s="486"/>
      <c r="H8" s="484" t="s">
        <v>152</v>
      </c>
      <c r="I8" s="485"/>
      <c r="J8" s="486"/>
      <c r="V8"/>
    </row>
    <row r="9" spans="1:22" ht="19.2" customHeight="1" x14ac:dyDescent="0.4">
      <c r="A9" s="191" t="s">
        <v>143</v>
      </c>
      <c r="B9" s="53">
        <f>'Project Assessment'!D21</f>
        <v>0</v>
      </c>
      <c r="D9" s="479" t="s">
        <v>184</v>
      </c>
      <c r="E9" s="480"/>
      <c r="F9" s="153">
        <f>IFERROR(ROUND(SUM(IF(H29="",0,H29*0.2),IF(H31="",0,H31*0.2),IF(H33="",0,H33*0.2),IF(H35="",0,H35*0.2),IF(H37="",0,H37*0.2)),2),"")</f>
        <v>0</v>
      </c>
      <c r="G9" s="47"/>
      <c r="H9" s="48" t="str">
        <f>F17</f>
        <v/>
      </c>
      <c r="I9" s="49" t="s">
        <v>153</v>
      </c>
      <c r="J9" s="50" t="str">
        <f>IF(F17="","",IF(F17&gt;0,"Lift","Loss"))</f>
        <v/>
      </c>
      <c r="V9"/>
    </row>
    <row r="10" spans="1:22" ht="19.2" customHeight="1" x14ac:dyDescent="0.4">
      <c r="A10" s="41" t="s">
        <v>385</v>
      </c>
      <c r="B10" s="45"/>
      <c r="C10"/>
      <c r="D10" s="553" t="s">
        <v>104</v>
      </c>
      <c r="E10" s="554"/>
      <c r="F10" s="153">
        <f>IFERROR(ROUND(SUM(IF(I29="",0,I29*0.2),IF(I31="",0,I31*0.2),IF(I33="",0,I33*0.2),IF(I35="",0,I35*0.2),IF(I37="",0,I37*0.2)),2),"")</f>
        <v>0</v>
      </c>
      <c r="G10" s="47"/>
      <c r="H10" s="46"/>
      <c r="I10" s="46"/>
      <c r="J10" s="46"/>
      <c r="V10"/>
    </row>
    <row r="11" spans="1:22" ht="19.2" customHeight="1" x14ac:dyDescent="0.4">
      <c r="A11" s="41" t="s">
        <v>274</v>
      </c>
      <c r="B11" s="45"/>
      <c r="D11" s="479" t="s">
        <v>151</v>
      </c>
      <c r="E11" s="554"/>
      <c r="F11" s="52">
        <f>IFERROR(F10-F9,"")</f>
        <v>0</v>
      </c>
      <c r="G11" s="51"/>
      <c r="H11" s="46"/>
      <c r="J11" s="46"/>
    </row>
    <row r="12" spans="1:22" ht="19.2" customHeight="1" x14ac:dyDescent="0.4">
      <c r="A12" s="41" t="s">
        <v>283</v>
      </c>
      <c r="B12" s="45"/>
      <c r="D12" s="281" t="s">
        <v>57</v>
      </c>
      <c r="E12" s="282"/>
      <c r="F12" s="53" t="str">
        <f>IF(B15="","",B15)</f>
        <v/>
      </c>
      <c r="G12" s="51"/>
      <c r="H12" s="46"/>
      <c r="J12" s="46"/>
    </row>
    <row r="13" spans="1:22" ht="19.2" customHeight="1" x14ac:dyDescent="0.4">
      <c r="A13" s="191" t="s">
        <v>167</v>
      </c>
      <c r="B13" s="44"/>
      <c r="D13" s="281" t="s">
        <v>75</v>
      </c>
      <c r="E13" s="282"/>
      <c r="F13" s="53" t="str">
        <f>IF(B16="","",B16)</f>
        <v/>
      </c>
      <c r="G13" s="51"/>
      <c r="H13" s="46"/>
      <c r="J13" s="46"/>
    </row>
    <row r="14" spans="1:22" ht="19.2" customHeight="1" x14ac:dyDescent="0.4">
      <c r="A14" s="191" t="s">
        <v>78</v>
      </c>
      <c r="B14" s="45"/>
      <c r="D14" s="283" t="s">
        <v>150</v>
      </c>
      <c r="E14" s="284"/>
      <c r="F14" s="53" t="str">
        <f>IFERROR(F13-F12,"")</f>
        <v/>
      </c>
      <c r="G14" s="51"/>
      <c r="H14" s="46"/>
      <c r="J14" s="46"/>
    </row>
    <row r="15" spans="1:22" ht="19.2" customHeight="1" x14ac:dyDescent="0.3">
      <c r="A15" s="411" t="s">
        <v>388</v>
      </c>
      <c r="B15" s="44"/>
      <c r="D15" s="285" t="s">
        <v>162</v>
      </c>
      <c r="E15" s="284"/>
      <c r="F15" s="54" t="str">
        <f>IFERROR(F9*F12,"")</f>
        <v/>
      </c>
      <c r="G15" s="51"/>
    </row>
    <row r="16" spans="1:22" ht="19.2" customHeight="1" x14ac:dyDescent="0.4">
      <c r="A16" s="411" t="s">
        <v>389</v>
      </c>
      <c r="B16" s="44"/>
      <c r="D16" s="285" t="s">
        <v>163</v>
      </c>
      <c r="E16" s="284"/>
      <c r="F16" s="54" t="str">
        <f>IFERROR(F13*F10,"")</f>
        <v/>
      </c>
      <c r="G16" s="51"/>
      <c r="H16" s="46"/>
      <c r="I16" s="46"/>
      <c r="J16" s="46"/>
    </row>
    <row r="17" spans="1:10" ht="19.2" customHeight="1" x14ac:dyDescent="0.4">
      <c r="A17" s="41" t="s">
        <v>386</v>
      </c>
      <c r="B17" s="45"/>
      <c r="D17" s="281" t="s">
        <v>161</v>
      </c>
      <c r="E17" s="282"/>
      <c r="F17" s="54" t="str">
        <f>IFERROR(F16-F15,"")</f>
        <v/>
      </c>
      <c r="G17" s="51"/>
      <c r="H17" s="46"/>
      <c r="I17" s="46"/>
      <c r="J17" s="46"/>
    </row>
    <row r="18" spans="1:10" ht="19.2" customHeight="1" x14ac:dyDescent="0.4">
      <c r="A18" s="41" t="s">
        <v>387</v>
      </c>
      <c r="B18" s="45"/>
      <c r="D18" s="479" t="s">
        <v>185</v>
      </c>
      <c r="E18" s="480"/>
      <c r="F18" s="56" t="str">
        <f>IFERROR(F17/F15,"")</f>
        <v/>
      </c>
      <c r="G18" s="55"/>
      <c r="H18" s="46"/>
      <c r="I18" s="46"/>
      <c r="J18" s="46"/>
    </row>
    <row r="19" spans="1:10" ht="19.2" customHeight="1" x14ac:dyDescent="0.45">
      <c r="A19" s="191" t="s">
        <v>168</v>
      </c>
      <c r="B19" s="45"/>
      <c r="D19" s="479" t="s">
        <v>390</v>
      </c>
      <c r="E19" s="480"/>
      <c r="F19" s="52" t="str">
        <f>IFERROR(((F16-F15)/F13),"")</f>
        <v/>
      </c>
      <c r="G19" s="152"/>
      <c r="H19" s="152"/>
      <c r="I19" s="152"/>
      <c r="J19" s="152"/>
    </row>
    <row r="20" spans="1:10" ht="19.2" customHeight="1" x14ac:dyDescent="0.3">
      <c r="E20" s="324"/>
      <c r="F20" s="324"/>
      <c r="G20" s="324"/>
      <c r="H20" s="324"/>
      <c r="I20" s="324"/>
      <c r="J20" s="324"/>
    </row>
    <row r="21" spans="1:10" ht="19.2" customHeight="1" x14ac:dyDescent="0.3">
      <c r="D21" s="478" t="str">
        <f>IF(OR(C29="",C30="",C32="",C35="",C34="",D29="",D30="",D32="",D35="",D34=""),"WARNING: Data are not provided for Reach Runoff, Floodplain Connectivity, Lateral Migration, Riparian Vegetation, or Bed Form Diversity Parameters.","")</f>
        <v>WARNING: Data are not provided for Reach Runoff, Floodplain Connectivity, Lateral Migration, Riparian Vegetation, or Bed Form Diversity Parameters.</v>
      </c>
      <c r="E21" s="478"/>
      <c r="F21" s="478"/>
      <c r="G21" s="478"/>
      <c r="H21" s="478"/>
      <c r="I21" s="478"/>
      <c r="J21" s="478"/>
    </row>
    <row r="22" spans="1:10" ht="19.2" customHeight="1" x14ac:dyDescent="0.3">
      <c r="D22" s="478"/>
      <c r="E22" s="478"/>
      <c r="F22" s="478"/>
      <c r="G22" s="478"/>
      <c r="H22" s="478"/>
      <c r="I22" s="478"/>
      <c r="J22" s="478"/>
    </row>
    <row r="23" spans="1:10" ht="19.2" customHeight="1" x14ac:dyDescent="0.3">
      <c r="D23" s="478"/>
      <c r="E23" s="478"/>
      <c r="F23" s="478"/>
      <c r="G23" s="478"/>
      <c r="H23" s="478"/>
      <c r="I23" s="478"/>
      <c r="J23" s="478"/>
    </row>
    <row r="24" spans="1:10" ht="15" customHeight="1" x14ac:dyDescent="0.3">
      <c r="D24" s="478"/>
      <c r="E24" s="478"/>
      <c r="F24" s="478"/>
      <c r="G24" s="478"/>
      <c r="H24" s="478"/>
      <c r="I24" s="478"/>
      <c r="J24" s="478"/>
    </row>
    <row r="25" spans="1:10" ht="18" x14ac:dyDescent="0.3">
      <c r="B25" s="192"/>
      <c r="C25" s="192"/>
      <c r="D25" s="192"/>
    </row>
    <row r="26" spans="1:10" ht="30.75" customHeight="1" x14ac:dyDescent="0.3">
      <c r="A26" s="538" t="s">
        <v>105</v>
      </c>
      <c r="B26" s="539"/>
      <c r="C26" s="539"/>
      <c r="D26" s="540"/>
      <c r="E26" s="58"/>
      <c r="F26" s="538" t="s">
        <v>93</v>
      </c>
      <c r="G26" s="539"/>
      <c r="H26" s="539"/>
      <c r="I26" s="539"/>
      <c r="J26" s="540"/>
    </row>
    <row r="27" spans="1:10" ht="18.600000000000001" customHeight="1" x14ac:dyDescent="0.3">
      <c r="A27" s="545" t="s">
        <v>1</v>
      </c>
      <c r="B27" s="551" t="s">
        <v>2</v>
      </c>
      <c r="C27" s="551" t="s">
        <v>58</v>
      </c>
      <c r="D27" s="551" t="s">
        <v>59</v>
      </c>
      <c r="E27" s="59"/>
      <c r="F27" s="571" t="s">
        <v>94</v>
      </c>
      <c r="G27" s="572"/>
      <c r="H27" s="575" t="s">
        <v>95</v>
      </c>
      <c r="I27" s="575" t="s">
        <v>96</v>
      </c>
      <c r="J27" s="555" t="s">
        <v>154</v>
      </c>
    </row>
    <row r="28" spans="1:10" ht="18.600000000000001" customHeight="1" x14ac:dyDescent="0.3">
      <c r="A28" s="546"/>
      <c r="B28" s="552"/>
      <c r="C28" s="552"/>
      <c r="D28" s="552"/>
      <c r="E28" s="59"/>
      <c r="F28" s="573"/>
      <c r="G28" s="574"/>
      <c r="H28" s="576"/>
      <c r="I28" s="576"/>
      <c r="J28" s="556"/>
    </row>
    <row r="29" spans="1:10" ht="17.25" customHeight="1" x14ac:dyDescent="0.3">
      <c r="A29" s="266" t="s">
        <v>201</v>
      </c>
      <c r="B29" s="193" t="s">
        <v>113</v>
      </c>
      <c r="C29" s="60" t="str">
        <f>G45</f>
        <v/>
      </c>
      <c r="D29" s="60" t="str">
        <f>G73</f>
        <v/>
      </c>
      <c r="E29" s="61"/>
      <c r="F29" s="494" t="s">
        <v>201</v>
      </c>
      <c r="G29" s="495"/>
      <c r="H29" s="490" t="str">
        <f>H45</f>
        <v/>
      </c>
      <c r="I29" s="490" t="str">
        <f>H73</f>
        <v/>
      </c>
      <c r="J29" s="490" t="str">
        <f>IFERROR(ROUND(I29-H29,2),"")</f>
        <v/>
      </c>
    </row>
    <row r="30" spans="1:10" ht="15.75" customHeight="1" x14ac:dyDescent="0.3">
      <c r="A30" s="274" t="s">
        <v>200</v>
      </c>
      <c r="B30" s="62" t="s">
        <v>5</v>
      </c>
      <c r="C30" s="60" t="str">
        <f>G48</f>
        <v/>
      </c>
      <c r="D30" s="60" t="str">
        <f>G76</f>
        <v/>
      </c>
      <c r="E30" s="61"/>
      <c r="F30" s="496"/>
      <c r="G30" s="497"/>
      <c r="H30" s="491"/>
      <c r="I30" s="491"/>
      <c r="J30" s="491"/>
    </row>
    <row r="31" spans="1:10" ht="15.75" customHeight="1" x14ac:dyDescent="0.3">
      <c r="A31" s="532" t="s">
        <v>20</v>
      </c>
      <c r="B31" s="63" t="s">
        <v>21</v>
      </c>
      <c r="C31" s="60" t="str">
        <f>G50</f>
        <v/>
      </c>
      <c r="D31" s="60" t="str">
        <f>G78</f>
        <v/>
      </c>
      <c r="E31" s="61"/>
      <c r="F31" s="547" t="s">
        <v>200</v>
      </c>
      <c r="G31" s="548"/>
      <c r="H31" s="490" t="str">
        <f>H48</f>
        <v/>
      </c>
      <c r="I31" s="490" t="str">
        <f>H76</f>
        <v/>
      </c>
      <c r="J31" s="490" t="str">
        <f>IFERROR(ROUND(I31-H31,2),"")</f>
        <v/>
      </c>
    </row>
    <row r="32" spans="1:10" ht="15.75" customHeight="1" x14ac:dyDescent="0.3">
      <c r="A32" s="533"/>
      <c r="B32" s="19" t="s">
        <v>196</v>
      </c>
      <c r="C32" s="60" t="str">
        <f>G52</f>
        <v/>
      </c>
      <c r="D32" s="60" t="str">
        <f>G80</f>
        <v/>
      </c>
      <c r="E32" s="61"/>
      <c r="F32" s="549"/>
      <c r="G32" s="550"/>
      <c r="H32" s="491"/>
      <c r="I32" s="491"/>
      <c r="J32" s="491"/>
    </row>
    <row r="33" spans="1:12" ht="15.75" customHeight="1" x14ac:dyDescent="0.3">
      <c r="A33" s="533"/>
      <c r="B33" s="19" t="s">
        <v>97</v>
      </c>
      <c r="C33" s="60" t="str">
        <f>G55</f>
        <v/>
      </c>
      <c r="D33" s="60" t="str">
        <f>G83</f>
        <v/>
      </c>
      <c r="E33" s="61"/>
      <c r="F33" s="541" t="s">
        <v>20</v>
      </c>
      <c r="G33" s="542"/>
      <c r="H33" s="490" t="str">
        <f>H50</f>
        <v/>
      </c>
      <c r="I33" s="490" t="str">
        <f>H78</f>
        <v/>
      </c>
      <c r="J33" s="490" t="str">
        <f>IFERROR(ROUND(I33-H33,2),"")</f>
        <v/>
      </c>
    </row>
    <row r="34" spans="1:12" ht="15.75" customHeight="1" x14ac:dyDescent="0.3">
      <c r="A34" s="533"/>
      <c r="B34" s="63" t="s">
        <v>45</v>
      </c>
      <c r="C34" s="60" t="str">
        <f>G56</f>
        <v/>
      </c>
      <c r="D34" s="60" t="str">
        <f>G84</f>
        <v/>
      </c>
      <c r="E34" s="61"/>
      <c r="F34" s="543"/>
      <c r="G34" s="544"/>
      <c r="H34" s="491"/>
      <c r="I34" s="491"/>
      <c r="J34" s="491"/>
    </row>
    <row r="35" spans="1:12" ht="15.75" customHeight="1" x14ac:dyDescent="0.3">
      <c r="A35" s="534"/>
      <c r="B35" s="63" t="s">
        <v>44</v>
      </c>
      <c r="C35" s="60" t="str">
        <f>G60</f>
        <v/>
      </c>
      <c r="D35" s="60" t="str">
        <f>G88</f>
        <v/>
      </c>
      <c r="E35" s="61"/>
      <c r="F35" s="498" t="s">
        <v>51</v>
      </c>
      <c r="G35" s="499"/>
      <c r="H35" s="490" t="str">
        <f>H64</f>
        <v/>
      </c>
      <c r="I35" s="490" t="str">
        <f>H92</f>
        <v/>
      </c>
      <c r="J35" s="490" t="str">
        <f>IFERROR(ROUND(I35-H35,2),"")</f>
        <v/>
      </c>
    </row>
    <row r="36" spans="1:12" ht="15.75" customHeight="1" x14ac:dyDescent="0.3">
      <c r="A36" s="578" t="s">
        <v>51</v>
      </c>
      <c r="B36" s="64" t="s">
        <v>74</v>
      </c>
      <c r="C36" s="60" t="str">
        <f>G64</f>
        <v/>
      </c>
      <c r="D36" s="60" t="str">
        <f>G92</f>
        <v/>
      </c>
      <c r="E36" s="61"/>
      <c r="F36" s="500"/>
      <c r="G36" s="501"/>
      <c r="H36" s="491"/>
      <c r="I36" s="491"/>
      <c r="J36" s="491"/>
    </row>
    <row r="37" spans="1:12" ht="15.75" customHeight="1" x14ac:dyDescent="0.3">
      <c r="A37" s="578"/>
      <c r="B37" s="363" t="s">
        <v>280</v>
      </c>
      <c r="C37" s="60" t="str">
        <f t="shared" ref="C37:C38" si="0">G65</f>
        <v/>
      </c>
      <c r="D37" s="60" t="str">
        <f t="shared" ref="D37:D38" si="1">G93</f>
        <v/>
      </c>
      <c r="E37" s="61"/>
      <c r="F37" s="580" t="s">
        <v>52</v>
      </c>
      <c r="G37" s="581"/>
      <c r="H37" s="490" t="str">
        <f>H67</f>
        <v/>
      </c>
      <c r="I37" s="490" t="str">
        <f>H95</f>
        <v/>
      </c>
      <c r="J37" s="490" t="str">
        <f>IFERROR(I37-H37,"")</f>
        <v/>
      </c>
    </row>
    <row r="38" spans="1:12" ht="15.75" customHeight="1" x14ac:dyDescent="0.3">
      <c r="A38" s="578"/>
      <c r="B38" s="323" t="s">
        <v>293</v>
      </c>
      <c r="C38" s="60" t="str">
        <f t="shared" si="0"/>
        <v/>
      </c>
      <c r="D38" s="60" t="str">
        <f t="shared" si="1"/>
        <v/>
      </c>
      <c r="E38" s="61"/>
      <c r="F38" s="582"/>
      <c r="G38" s="583"/>
      <c r="H38" s="491"/>
      <c r="I38" s="491"/>
      <c r="J38" s="491"/>
      <c r="K38" s="65"/>
    </row>
    <row r="39" spans="1:12" ht="15.75" customHeight="1" x14ac:dyDescent="0.3">
      <c r="A39" s="577" t="s">
        <v>52</v>
      </c>
      <c r="B39" s="20" t="s">
        <v>129</v>
      </c>
      <c r="C39" s="60" t="str">
        <f>G67</f>
        <v/>
      </c>
      <c r="D39" s="60" t="str">
        <f>G95</f>
        <v/>
      </c>
      <c r="E39" s="61"/>
      <c r="F39" s="364"/>
      <c r="G39" s="364"/>
      <c r="H39" s="365"/>
      <c r="I39" s="365"/>
      <c r="J39" s="365"/>
    </row>
    <row r="40" spans="1:12" ht="15.75" customHeight="1" x14ac:dyDescent="0.3">
      <c r="A40" s="577"/>
      <c r="B40" s="66" t="s">
        <v>70</v>
      </c>
      <c r="C40" s="60" t="str">
        <f>G68</f>
        <v/>
      </c>
      <c r="D40" s="60" t="str">
        <f>G96</f>
        <v/>
      </c>
      <c r="E40" s="61"/>
    </row>
    <row r="41" spans="1:12" ht="15.6" customHeight="1" x14ac:dyDescent="0.3">
      <c r="A41" s="67"/>
      <c r="B41" s="55"/>
      <c r="C41" s="61"/>
      <c r="D41" s="61"/>
      <c r="E41" s="61"/>
    </row>
    <row r="42" spans="1:12" ht="15" customHeight="1" x14ac:dyDescent="0.3"/>
    <row r="43" spans="1:12" ht="21" x14ac:dyDescent="0.4">
      <c r="A43" s="484" t="s">
        <v>48</v>
      </c>
      <c r="B43" s="485"/>
      <c r="C43" s="485"/>
      <c r="D43" s="485"/>
      <c r="E43" s="485"/>
      <c r="F43" s="486"/>
      <c r="G43" s="484" t="s">
        <v>14</v>
      </c>
      <c r="H43" s="485"/>
      <c r="I43" s="486"/>
    </row>
    <row r="44" spans="1:12" ht="15.6" x14ac:dyDescent="0.3">
      <c r="A44" s="68" t="s">
        <v>1</v>
      </c>
      <c r="B44" s="34" t="s">
        <v>171</v>
      </c>
      <c r="C44" s="566" t="s">
        <v>170</v>
      </c>
      <c r="D44" s="567"/>
      <c r="E44" s="68" t="s">
        <v>12</v>
      </c>
      <c r="F44" s="69" t="s">
        <v>13</v>
      </c>
      <c r="G44" s="68" t="s">
        <v>15</v>
      </c>
      <c r="H44" s="68" t="s">
        <v>16</v>
      </c>
      <c r="I44" s="68" t="s">
        <v>16</v>
      </c>
    </row>
    <row r="45" spans="1:12" ht="15.6" x14ac:dyDescent="0.3">
      <c r="A45" s="559" t="s">
        <v>201</v>
      </c>
      <c r="B45" s="563" t="s">
        <v>113</v>
      </c>
      <c r="C45" s="194" t="s">
        <v>169</v>
      </c>
      <c r="D45" s="195"/>
      <c r="E45" s="72"/>
      <c r="F45" s="197" t="str">
        <f>IF(E45="","",IF(E45&gt;=80,0,IF(E45&lt;=40,1,IF(E45&gt;=68,ROUND(E45*'Reference Curves'!$C$14+'Reference Curves'!$C$15,2),ROUND(E45*'Reference Curves'!$D$14+'Reference Curves'!$D$15,2)))))</f>
        <v/>
      </c>
      <c r="G45" s="487" t="str">
        <f>IFERROR(AVERAGE(F45:F47),"")</f>
        <v/>
      </c>
      <c r="H45" s="487" t="str">
        <f>IFERROR(ROUND(AVERAGE(G45:G47),2),"")</f>
        <v/>
      </c>
      <c r="I45" s="475" t="str">
        <f>IF(H45="","",IF(H45:H47&gt;0.69,"Functioning",IF(H45&gt;0.29,"Functioning At Risk",IF(H45&gt;-1,"Not Functioning"))))</f>
        <v/>
      </c>
      <c r="J45" s="57"/>
    </row>
    <row r="46" spans="1:12" ht="15.6" x14ac:dyDescent="0.3">
      <c r="A46" s="560"/>
      <c r="B46" s="564"/>
      <c r="C46" s="262" t="s">
        <v>271</v>
      </c>
      <c r="D46" s="196"/>
      <c r="E46" s="199"/>
      <c r="F46" s="265" t="str">
        <f>IF(E46="","",  IF(E46&gt;0.95,0,IF(E46&lt;=0.02,1,ROUND(IF(E46&gt;0.26, 'Reference Curves'!$C$45*E46+'Reference Curves'!$C$46, IF(E46&lt;0.05, 'Reference Curves'!$E$45*E46+'Reference Curves'!$E$46, 'Reference Curves'!$D$45*E46+'Reference Curves'!$D$46)),2))) )</f>
        <v/>
      </c>
      <c r="G46" s="488"/>
      <c r="H46" s="488"/>
      <c r="I46" s="476"/>
    </row>
    <row r="47" spans="1:12" ht="15.6" x14ac:dyDescent="0.3">
      <c r="A47" s="579"/>
      <c r="B47" s="565"/>
      <c r="C47" s="262" t="s">
        <v>302</v>
      </c>
      <c r="D47" s="196"/>
      <c r="E47" s="70"/>
      <c r="F47" s="263" t="str">
        <f>IF(E47="","",   IF(E47&gt;3.22,0, IF(E47&lt;0, "", ROUND('Reference Curves'!$C$74*E47+'Reference Curves'!$C$75,2))))</f>
        <v/>
      </c>
      <c r="G47" s="489"/>
      <c r="H47" s="488"/>
      <c r="I47" s="477"/>
    </row>
    <row r="48" spans="1:12" ht="15.6" x14ac:dyDescent="0.3">
      <c r="A48" s="561" t="s">
        <v>200</v>
      </c>
      <c r="B48" s="557" t="s">
        <v>5</v>
      </c>
      <c r="C48" s="269" t="s">
        <v>6</v>
      </c>
      <c r="D48" s="270"/>
      <c r="E48" s="72"/>
      <c r="F48" s="272" t="str">
        <f>IF(E48="","",ROUND(IF(E48&gt;1.71,0,IF(E48&lt;=1,1,E48*'Reference Curves'!K$13+'Reference Curves'!K$14)),2))</f>
        <v/>
      </c>
      <c r="G48" s="492" t="str">
        <f>IFERROR(AVERAGE(F48:F49),"")</f>
        <v/>
      </c>
      <c r="H48" s="492" t="str">
        <f>IFERROR(ROUND(AVERAGE(G48),2),"")</f>
        <v/>
      </c>
      <c r="I48" s="476" t="str">
        <f>IF(H48="","",IF(H48&gt;0.69,"Functioning",IF(H48&gt;0.29,"Functioning At Risk",IF(H48&gt;-1,"Not Functioning"))))</f>
        <v/>
      </c>
      <c r="L48" s="71"/>
    </row>
    <row r="49" spans="1:12" ht="15.6" x14ac:dyDescent="0.3">
      <c r="A49" s="562"/>
      <c r="B49" s="558"/>
      <c r="C49" s="182" t="s">
        <v>7</v>
      </c>
      <c r="D49" s="271"/>
      <c r="E49" s="410"/>
      <c r="F49" s="273" t="str">
        <f>IF(E49="","",IF(OR(B$9="A",B$9="Ba",B$9="B", B$9="Bc"),IF(E49&lt;1.2,0,IF(E49&gt;=2.2,1,ROUND(IF(E49&lt;1.4,E49*'Reference Curves'!$K$82+'Reference Curves'!$K$83,E49*'Reference Curves'!$L$82+'Reference Curves'!$L$83),2))),IF(OR(B$9="C",B$9="Cb",B$9="E"),IF(E49&lt;2,0,IF(E49&gt;=5,1,ROUND(IF(E49&lt;2.4,E49*'Reference Curves'!$L$47+'Reference Curves'!$L$48,E49*'Reference Curves'!$K$47+'Reference Curves'!$K$48),2))))))</f>
        <v/>
      </c>
      <c r="G49" s="493"/>
      <c r="H49" s="493"/>
      <c r="I49" s="477"/>
      <c r="L49" s="71"/>
    </row>
    <row r="50" spans="1:12" ht="15.6" x14ac:dyDescent="0.3">
      <c r="A50" s="507" t="s">
        <v>20</v>
      </c>
      <c r="B50" s="507" t="s">
        <v>21</v>
      </c>
      <c r="C50" s="16" t="s">
        <v>19</v>
      </c>
      <c r="D50" s="77"/>
      <c r="E50" s="72"/>
      <c r="F50" s="159" t="str">
        <f>IF(E50="","",IF(E50&gt;=660,1,IF(E50&lt;=430,ROUND('Reference Curves'!$S$14*E50+'Reference Curves'!$S$15,2),ROUND('Reference Curves'!$T$14*E50+'Reference Curves'!$T$15,2))))</f>
        <v/>
      </c>
      <c r="G50" s="509" t="str">
        <f>IFERROR(AVERAGE(F50:F51),"")</f>
        <v/>
      </c>
      <c r="H50" s="509" t="str">
        <f>IFERROR(ROUND(AVERAGE(G50:G63),2),"")</f>
        <v/>
      </c>
      <c r="I50" s="516" t="str">
        <f>IF(H50="","",IF(H50&gt;0.69,"Functioning",IF(H50&gt;0.29,"Functioning At Risk",IF(H50&gt;-1,"Not Functioning"))))</f>
        <v/>
      </c>
      <c r="L50" s="71"/>
    </row>
    <row r="51" spans="1:12" ht="15.6" x14ac:dyDescent="0.3">
      <c r="A51" s="511"/>
      <c r="B51" s="508"/>
      <c r="C51" s="17" t="s">
        <v>353</v>
      </c>
      <c r="D51" s="209"/>
      <c r="E51" s="73"/>
      <c r="F51" s="210" t="str">
        <f>IF(E51="","",IF(E51&gt;=28,1,ROUND(IF(E51&lt;=13,'Reference Curves'!$S$47*E51,'Reference Curves'!$T$47*E51+'Reference Curves'!$T$48),2)))</f>
        <v/>
      </c>
      <c r="G51" s="510"/>
      <c r="H51" s="515"/>
      <c r="I51" s="517"/>
      <c r="L51" s="71"/>
    </row>
    <row r="52" spans="1:12" ht="15.6" x14ac:dyDescent="0.3">
      <c r="A52" s="511"/>
      <c r="B52" s="511" t="s">
        <v>196</v>
      </c>
      <c r="C52" s="184" t="s">
        <v>43</v>
      </c>
      <c r="D52" s="80"/>
      <c r="E52" s="199"/>
      <c r="F52" s="160" t="str">
        <f>IF(E52="","",IF(OR(E52="Ex/Ex",E52="Ex/VH",E52="Ex/H",E52="Ex/M",E52="VH/Ex",E52="VH/VH", E52="H/Ex",E52="H/VH"),0, IF(OR(E52="M/Ex"),0.1,IF(OR(E52="VH/H",E52="VH/M",E52="H/H",E52="H/M", E52="M/VH"),0.2, IF(OR(E52="Ex/VL",E52="Ex/L", E52="M/H"),0.3, IF(OR(E52="VH/L",E52="H/L"),0.4, IF(OR(E52="VH/VL",E52="H/VL",E52="M/M"),0.5, IF(OR(E52="M/L",E52="L/Ex"),0.6, IF(OR(E52="M/VL",E52="L/VH", E52="L/H",E52="L/M",E52="L/L",E52="L/VL",LEFT(E52)="V"),1)))))))))</f>
        <v/>
      </c>
      <c r="G52" s="509" t="str">
        <f>IFERROR(AVERAGE(F52:F54),"")</f>
        <v/>
      </c>
      <c r="H52" s="515"/>
      <c r="I52" s="517"/>
      <c r="L52" s="71"/>
    </row>
    <row r="53" spans="1:12" ht="15.6" x14ac:dyDescent="0.3">
      <c r="A53" s="511"/>
      <c r="B53" s="511"/>
      <c r="C53" s="185" t="s">
        <v>79</v>
      </c>
      <c r="D53" s="174"/>
      <c r="E53" s="200"/>
      <c r="F53" s="160" t="str">
        <f>IF(E53="","",ROUND(IF(E53&gt;=75,0,IF(E53&lt;=5,1,IF(E53&gt;10,E53*'Reference Curves'!S$81+'Reference Curves'!S$82,'Reference Curves'!$T$81*E53+'Reference Curves'!$T$82))),2))</f>
        <v/>
      </c>
      <c r="G53" s="515"/>
      <c r="H53" s="515"/>
      <c r="I53" s="517"/>
      <c r="L53" s="71"/>
    </row>
    <row r="54" spans="1:12" ht="15.6" x14ac:dyDescent="0.3">
      <c r="A54" s="511"/>
      <c r="B54" s="508"/>
      <c r="C54" s="186" t="s">
        <v>195</v>
      </c>
      <c r="D54" s="175"/>
      <c r="E54" s="73"/>
      <c r="F54" s="161" t="str">
        <f>IF(E54="","",IF(E54&gt;=50,0,ROUND(E54*'Reference Curves'!$S$112+'Reference Curves'!$S$113,2)))</f>
        <v/>
      </c>
      <c r="G54" s="510"/>
      <c r="H54" s="515"/>
      <c r="I54" s="517"/>
      <c r="L54" s="71"/>
    </row>
    <row r="55" spans="1:12" ht="15.6" x14ac:dyDescent="0.3">
      <c r="A55" s="511"/>
      <c r="B55" s="87" t="s">
        <v>97</v>
      </c>
      <c r="C55" s="17" t="s">
        <v>115</v>
      </c>
      <c r="D55" s="80"/>
      <c r="E55" s="73"/>
      <c r="F55" s="82" t="str">
        <f>IF(OR(E55="",B$14=""),"",IF(OR(B$14="Silt/Clay",B$14="Sand",B$14="Boulders",B$14="Bedrock"),"NA",IF(E55&gt;0.1,1,IF(E55&lt;=0.01,0,ROUND(E55*'Reference Curves'!$S$143+'Reference Curves'!$S$144,2)))))</f>
        <v/>
      </c>
      <c r="G55" s="82" t="str">
        <f>IFERROR(AVERAGE(F55),"")</f>
        <v/>
      </c>
      <c r="H55" s="515"/>
      <c r="I55" s="517"/>
      <c r="L55" s="71"/>
    </row>
    <row r="56" spans="1:12" ht="15.6" x14ac:dyDescent="0.3">
      <c r="A56" s="511"/>
      <c r="B56" s="507" t="s">
        <v>45</v>
      </c>
      <c r="C56" s="183" t="s">
        <v>46</v>
      </c>
      <c r="D56" s="77"/>
      <c r="E56" s="83"/>
      <c r="F56" s="84" t="str">
        <f>IF(E56="","", IF(OR(LEFT($B$9)="C",$B$9="E"), IF(OR(E56&lt;=1,E56&gt;=9),0,IF(AND(E56&gt;=3.5,E56&lt;=6),1,IF(E56&lt;3.5, ROUND(E56*'Reference Curves'!$S$243+'Reference Curves'!$S$244,2), ROUND(E56*'Reference Curves'!$T$243+'Reference Curves'!$T$244,2)))),   IF(OR(($B$9)="A",($B$9)="B",($B$9)="Ba"), IF(E56&gt;=6.5,0, IF(E56&lt;=4, 1, ROUND(E56^2*'Reference Curves'!$S$177+E56*'Reference Curves'!$S$178+'Reference Curves'!$S$179,2))), IF($B$9="Bc",  IF(E56&gt;=8,0, IF(E56&lt;=5, 1, ROUND(E56^2*'Reference Curves'!$S$209+E56*'Reference Curves'!$S$210+'Reference Curves'!$S$211,2)))))))</f>
        <v/>
      </c>
      <c r="G56" s="512" t="str">
        <f>IFERROR(AVERAGE(F56:F59),"")</f>
        <v/>
      </c>
      <c r="H56" s="515"/>
      <c r="I56" s="517"/>
      <c r="L56" s="71"/>
    </row>
    <row r="57" spans="1:12" ht="15.6" x14ac:dyDescent="0.3">
      <c r="A57" s="511"/>
      <c r="B57" s="511"/>
      <c r="C57" s="184" t="s">
        <v>47</v>
      </c>
      <c r="D57" s="80"/>
      <c r="E57" s="81"/>
      <c r="F57" s="85" t="str">
        <f>IF(E57="","", ROUND(IF(E57&lt;=1.1,0, IF(E57&gt;=3,1, IF(E57&lt;2, E57^2*'Reference Curves'!$S$276+  E57*'Reference Curves'!$S$277 + 'Reference Curves'!$S$278, E57*'Reference Curves'!$T$277 + 'Reference Curves'!$T$278))),2))</f>
        <v/>
      </c>
      <c r="G57" s="513"/>
      <c r="H57" s="515"/>
      <c r="I57" s="517"/>
      <c r="L57" s="71"/>
    </row>
    <row r="58" spans="1:12" ht="15.6" x14ac:dyDescent="0.3">
      <c r="A58" s="511"/>
      <c r="B58" s="511"/>
      <c r="C58" s="145" t="s">
        <v>173</v>
      </c>
      <c r="D58" s="80"/>
      <c r="E58" s="81"/>
      <c r="F58" s="171" t="str">
        <f>IF(E58="","",IF(OR($B$9="A",LEFT($B$9,1)="B"),IF(OR(E58&lt;=20,E58&gt;=90),0,IF(AND(E58&gt;=50,E58&lt;=60),1,IF(E58&lt;50,ROUND(E58*'Reference Curves'!$S$310+'Reference Curves'!$S$311,2),ROUND(E58*'Reference Curves'!$T$310+'Reference Curves'!$T$311,2)))),IF(OR(LEFT($B$9)="C",$B$9="E"),IF(OR(E58&lt;=20,E58&gt;=85),0,IF(AND(E58&lt;=65,E58&gt;=45),1,IF(E58&lt;45,ROUND(E58*'Reference Curves'!$S$343+'Reference Curves'!$S$344,2),ROUND(E58*'Reference Curves'!$T$343+'Reference Curves'!$T$344,2)))))))</f>
        <v/>
      </c>
      <c r="G58" s="513"/>
      <c r="H58" s="515"/>
      <c r="I58" s="517"/>
      <c r="L58" s="71"/>
    </row>
    <row r="59" spans="1:12" ht="15.6" x14ac:dyDescent="0.3">
      <c r="A59" s="511"/>
      <c r="B59" s="508"/>
      <c r="C59" s="187" t="s">
        <v>136</v>
      </c>
      <c r="D59" s="79"/>
      <c r="E59" s="86"/>
      <c r="F59" s="170" t="str">
        <f>IF(E59="","",IF(E59&gt;=1.6,0,IF(E59&lt;=1,1,ROUND('Reference Curves'!$S$375*E59^3+'Reference Curves'!$S$376*E59^2+'Reference Curves'!$S$377*E59+'Reference Curves'!$S$378,2))))</f>
        <v/>
      </c>
      <c r="G59" s="514"/>
      <c r="H59" s="515"/>
      <c r="I59" s="517"/>
      <c r="L59" s="71"/>
    </row>
    <row r="60" spans="1:12" ht="15.6" x14ac:dyDescent="0.3">
      <c r="A60" s="511"/>
      <c r="B60" s="507" t="s">
        <v>44</v>
      </c>
      <c r="C60" s="16" t="s">
        <v>295</v>
      </c>
      <c r="D60" s="179"/>
      <c r="E60" s="180"/>
      <c r="F60" s="172" t="str">
        <f>IF(E60="","",IF($B$19="Unconfined Alluvial",IF(E60&gt;=100,1,IF(E60&lt;30,0,ROUND('Reference Curves'!$S$411*E60+'Reference Curves'!$S$412,2))),IF(OR($B$19="Confined Alluvial",$B$19="Colluvial/V-Shaped"),(IF(E60&gt;=100,1,IF(E60&lt;60,0,ROUND('Reference Curves'!$T$411*E60+'Reference Curves'!$T$412,2)))))))</f>
        <v/>
      </c>
      <c r="G60" s="509" t="str">
        <f>IFERROR(AVERAGE(F60:F63),"")</f>
        <v/>
      </c>
      <c r="H60" s="515"/>
      <c r="I60" s="517"/>
      <c r="L60" s="71"/>
    </row>
    <row r="61" spans="1:12" ht="15.6" x14ac:dyDescent="0.3">
      <c r="A61" s="511"/>
      <c r="B61" s="511"/>
      <c r="C61" s="145" t="s">
        <v>297</v>
      </c>
      <c r="D61" s="169"/>
      <c r="E61" s="177"/>
      <c r="F61" s="85" t="str">
        <f>IF(E61="","",IF($B$10="Yes",IF(E61&lt;=50,0,IF(E61&gt;=80,1,ROUND('Reference Curves'!$S$445*E61+'Reference Curves'!$S$446,2))),IF($B$10="No",IF(E61&gt;=80,0,IF(E61&lt;=50,1,ROUND(E61*'Reference Curves'!$T$445+'Reference Curves'!$T$446,2))))))</f>
        <v/>
      </c>
      <c r="G61" s="515"/>
      <c r="H61" s="515"/>
      <c r="I61" s="517"/>
      <c r="L61" s="71"/>
    </row>
    <row r="62" spans="1:12" ht="15.6" x14ac:dyDescent="0.3">
      <c r="A62" s="511"/>
      <c r="B62" s="511"/>
      <c r="C62" s="145" t="s">
        <v>189</v>
      </c>
      <c r="D62" s="169"/>
      <c r="E62" s="177"/>
      <c r="F62" s="85" t="str">
        <f>IF(E62="","",IF(E62&lt;=50,0,IF(E62&gt;=80,1, ROUND(E62*'Reference Curves'!$S$477+'Reference Curves'!$S$478,2))))</f>
        <v/>
      </c>
      <c r="G62" s="513"/>
      <c r="H62" s="515"/>
      <c r="I62" s="517"/>
      <c r="L62" s="71"/>
    </row>
    <row r="63" spans="1:12" ht="15.6" x14ac:dyDescent="0.3">
      <c r="A63" s="508"/>
      <c r="B63" s="508"/>
      <c r="C63" s="520" t="s">
        <v>377</v>
      </c>
      <c r="D63" s="521"/>
      <c r="E63" s="178"/>
      <c r="F63" s="85" t="str">
        <f>IF(E63="","",IF($B$10="Yes",IF(E63&lt;=9,0,IF(E63&gt;=14,1,ROUND('Reference Curves'!$S$509*E63+'Reference Curves'!$S$510,2))),"FALSE"))</f>
        <v/>
      </c>
      <c r="G63" s="510"/>
      <c r="H63" s="510"/>
      <c r="I63" s="518"/>
      <c r="L63" s="71"/>
    </row>
    <row r="64" spans="1:12" ht="15.6" x14ac:dyDescent="0.3">
      <c r="A64" s="502" t="s">
        <v>51</v>
      </c>
      <c r="B64" s="313" t="s">
        <v>74</v>
      </c>
      <c r="C64" s="314" t="s">
        <v>272</v>
      </c>
      <c r="D64" s="315"/>
      <c r="E64" s="44"/>
      <c r="F64" s="319" t="str">
        <f>IF(E64="","",  IF(E64&gt;=25,0,IF(E64&lt;=10,1,ROUND(IF(E64&gt;18, 'Reference Curves'!$AA$14*E64+'Reference Curves'!$AA$15, IF(E64&lt;12, 'Reference Curves'!$AC$14*E64+'Reference Curves'!$AC$15, 'Reference Curves'!$AB$14*E64+'Reference Curves'!$AB$15)),2))) )</f>
        <v/>
      </c>
      <c r="G64" s="319" t="str">
        <f>IFERROR(AVERAGE(F64),"")</f>
        <v/>
      </c>
      <c r="H64" s="568" t="str">
        <f>IFERROR(ROUND(AVERAGE(G64:G66),2),"")</f>
        <v/>
      </c>
      <c r="I64" s="482" t="str">
        <f>IF(H64="","",IF(H64&gt;0.69,"Functioning",IF(H64&gt;0.29,"Functioning At Risk",IF(H64&gt;-1,"Not Functioning"))))</f>
        <v/>
      </c>
      <c r="L64" s="71"/>
    </row>
    <row r="65" spans="1:12" ht="15.6" x14ac:dyDescent="0.3">
      <c r="A65" s="503"/>
      <c r="B65" s="289" t="s">
        <v>280</v>
      </c>
      <c r="C65" s="314" t="s">
        <v>281</v>
      </c>
      <c r="D65" s="316"/>
      <c r="E65" s="199"/>
      <c r="F65" s="320" t="str">
        <f>IF(E65="","",IF($B$11="2A",IF(E65&lt;=5.3,0,IF(E65&gt;=8.79,1,ROUND(E65*'Reference Curves'!$AA$50+'Reference Curves'!$AA$51,2))),IF($B$11=7,IF(E65&lt;=0.8,0,IF(E65&gt;=1.25,1,ROUND(E65*'Reference Curves'!$AC$50+'Reference Curves'!$AC$51,2))),IF(OR($B$11="2B", $B$11="2Bd",$B$11="2C"),IF(E65&lt;=3.8,0,(IF(E65&gt;=6.24,1,ROUND(E65*'Reference Curves'!$AB$50+'Reference Curves'!$AB$51,2))))))))</f>
        <v/>
      </c>
      <c r="G65" s="320" t="str">
        <f>IFERROR(AVERAGE(F65),"")</f>
        <v/>
      </c>
      <c r="H65" s="569"/>
      <c r="I65" s="482"/>
      <c r="L65" s="71"/>
    </row>
    <row r="66" spans="1:12" ht="15.6" x14ac:dyDescent="0.3">
      <c r="A66" s="504"/>
      <c r="B66" s="323" t="s">
        <v>293</v>
      </c>
      <c r="C66" s="314" t="s">
        <v>294</v>
      </c>
      <c r="D66" s="318"/>
      <c r="E66" s="44"/>
      <c r="F66" s="321" t="str">
        <f>IF(E66="","",IF(B$11="2A",IF(E66&gt;=12.5,0,IF(E66&lt;=7.5,1,ROUND(E66*'Reference Curves'!$AA$86+'Reference Curves'!$AA$87,2))),IF(OR(B$11="2B",B$11="2Bd",B$11="2C"),IF(B$12="North",IF(E66&gt;=18.8,0,IF(E66&lt;=11.3,1,ROUND(E66*'Reference Curves'!$AB$86+'Reference Curves'!$AB$87,2))),IF(B$12="Central",(IF(E66&gt;=37.5,0,IF(E66&lt;=22.5,1,ROUND(E66*'Reference Curves'!$AC$86+'Reference Curves'!$AC$87,2)))),IF(E66&gt;=81.2,0,(IF(E66&lt;=48.7,1,ROUND(E66*'Reference Curves'!$AD$86+'Reference Curves'!$AD$87,2)))))))))</f>
        <v/>
      </c>
      <c r="G66" s="321" t="str">
        <f>IFERROR(AVERAGE(F66),"")</f>
        <v/>
      </c>
      <c r="H66" s="570"/>
      <c r="I66" s="482"/>
      <c r="L66" s="71"/>
    </row>
    <row r="67" spans="1:12" ht="15.6" x14ac:dyDescent="0.3">
      <c r="A67" s="505" t="s">
        <v>52</v>
      </c>
      <c r="B67" s="204" t="s">
        <v>129</v>
      </c>
      <c r="C67" s="203" t="s">
        <v>226</v>
      </c>
      <c r="D67" s="88"/>
      <c r="E67" s="72"/>
      <c r="F67" s="89" t="str">
        <f>IF(E67="","",IF($B$17="Northern Forest Rivers",IF(E67&lt;=38.2,0,IF(E67&gt;=77,1,ROUND(IF(E67&lt;49, 'Reference Curves'!$AJ$18*E67+'Reference Curves'!$AJ$19, IF(E67&lt;59.8, 'Reference Curves'!$AK$18*E67+'Reference Curves'!$AK$19, 'Reference Curves'!$AL$18*E67+'Reference Curves'!$AL$19)),2))),   IF($B$17="Northern Forest Streams Riffle-run",IF(E67&lt;40.4,0,IF(E67&gt;=82,1,ROUND(IF(E67&lt;53, 'Reference Curves'!$AM$18*E67+'Reference Curves'!$AM$19, IF(E67&lt;59.8, 'Reference Curves'!$AN$18*E67+'Reference Curves'!$AN$19, 'Reference Curves'!$AO$18*E67+'Reference Curves'!$AO$19) ),2))), IF($B$17="Northern Forest Streams Glide-pool",IF(E67&lt;=37,0,IF(E67&gt;=76,1,ROUND(IF(E67&lt;51, 'Reference Curves'!$AP$18*E67+'Reference Curves'!$AP$19, IF(E67&lt;65.6, 'Reference Curves'!$AQ$18*E67+'Reference Curves'!$AQ$19, 'Reference Curves'!$AR$18*E67+'Reference Curves'!$AR$19) ),2))), IF($B$17="Northern Coldwater",IF(E67&lt;19.6,0,IF(E67&gt;=52,1,ROUND(IF(E67&lt;32, 'Reference Curves'!$AS$18*E67+'Reference Curves'!$AS$19, IF(E67&lt;44.4, 'Reference Curves'!$AT$18*E67+'Reference Curves'!$AT$19, 'Reference Curves'!$AU$18*E67+'Reference Curves'!$AU$19) ),2))), IF($B$17="Southern Forest Streams Riffle-run", IF(E67&lt;24,0,IF(E67&gt;=62,1,ROUND(IF(E67&lt;37, 'Reference Curves'!$AJ$65*E67+'Reference Curves'!$AJ$66, IF(E67&lt;49.6, 'Reference Curves'!$AK$65*E67+'Reference Curves'!$AK$66, 'Reference Curves'!$AL$65*E67+'Reference Curves'!$AL$66)),2))), IF($B$17="Southern Forest Streams Glide-pool", IF(E67&lt;29.4,0,IF(E67&gt;=65,1,ROUND(IF(E67&lt;43, 'Reference Curves'!$AM$65*E67+'Reference Curves'!$AM$66, IF(E67&lt;56.6, 'Reference Curves'!$AN$65*E67+'Reference Curves'!$AN$66, 'Reference Curves'!$AO$65*E67+'Reference Curves'!$AO$66)),2))), IF($B$17="Southern Coldwater", IF(E67&lt;29.2,0,IF(E67&gt;=72,1,ROUND(IF(E67&lt;43, 'Reference Curves'!$AP$65*E67+'Reference Curves'!$AP$66, IF(E67&lt;56.8, 'Reference Curves'!$AQ$65*E67+'Reference Curves'!$AQ$66, 'Reference Curves'!$AR$65*E67+'Reference Curves'!$AR$66)),2))), IF($B$17="Prairie Forest Rivers", IF(E67&lt;20.2,0,IF(E67&gt;=62,1,ROUND(IF(E67&lt;31, 'Reference Curves'!$AJ$110*E67+'Reference Curves'!$AJ$111, IF(E67&lt;41.8, 'Reference Curves'!$AK$110*E67+'Reference Curves'!$AK$111, 'Reference Curves'!$AL$110*E67+'Reference Curves'!$AL$111)),2))), IF($B$17="Prairie Streams Glide-Pool", IF(E67&lt;27.4,0,IF(E67&gt;=69,1,ROUND(IF(E67&lt;41, 'Reference Curves'!$AM$110*E67+'Reference Curves'!$AM$111, IF(E67&lt;54.6, 'Reference Curves'!$AN$110*E67+'Reference Curves'!$AN$111, 'Reference Curves'!$AO$110*E67+'Reference Curves'!$AO$111)),2))) ))))))))))</f>
        <v/>
      </c>
      <c r="G67" s="205" t="str">
        <f>IFERROR(AVERAGE(F67),"")</f>
        <v/>
      </c>
      <c r="H67" s="481" t="str">
        <f>IFERROR(ROUND(AVERAGE(G67:G68),2),"")</f>
        <v/>
      </c>
      <c r="I67" s="482" t="str">
        <f>IF(H67="","",IF(H67&gt;0.69,"Functioning",IF(H67&gt;0.29,"Functioning At Risk",IF(H67&gt;-1,"Not Functioning"))))</f>
        <v/>
      </c>
      <c r="L67" s="71"/>
    </row>
    <row r="68" spans="1:12" ht="15.6" x14ac:dyDescent="0.3">
      <c r="A68" s="506"/>
      <c r="B68" s="206" t="s">
        <v>70</v>
      </c>
      <c r="C68" s="207" t="s">
        <v>227</v>
      </c>
      <c r="D68" s="208"/>
      <c r="E68" s="13"/>
      <c r="F68" s="89" t="str">
        <f>IF(E68="","",IF($B$18="Northern Rivers",IF(E68&lt;29,0,IF(E68&gt;=66,1,ROUND(IF(E68&lt;38, 'Reference Curves'!$AJ$156*E68+'Reference Curves'!$AJ$157, IF(E68&lt;47, 'Reference Curves'!$AK$156*E68+'Reference Curves'!$AK$157, 'Reference Curves'!$AL$156*E68+'Reference Curves'!$AL$157)),2))),   IF($B$18="Northern Streams",IF(E68&lt;35,0,IF(E68&gt;=61,1,ROUND(IF(E68&lt;47, 'Reference Curves'!$AM$156*E68+'Reference Curves'!$AM$157, IF(E68&lt;56, 'Reference Curves'!$AN$156*E68+'Reference Curves'!$AN$157, 'Reference Curves'!$AO$156*E68+'Reference Curves'!$AO$157) ),2))), IF($B$18="Northern Headwaters",IF(E68&lt;23,0,IF(E68&gt;=68,1,ROUND(IF(E68&lt;42, 'Reference Curves'!$AP$156*E68+'Reference Curves'!$AP$157, IF(E68&lt;56, 'Reference Curves'!$AQ$156*E68+'Reference Curves'!$AQ$157, 'Reference Curves'!$AR$156*E68+'Reference Curves'!$AR$157) ),2))), IF($B$18="Northern Coldwater",IF(E68&lt;25,0,IF(E68&gt;=60,1,ROUND(IF(E68&lt;35, 'Reference Curves'!$AS$156*E68+'Reference Curves'!$AS$157, IF(E68&lt;45, 'Reference Curves'!$AT$156*E68+'Reference Curves'!$AT$157, 'Reference Curves'!$AU$156*E68+'Reference Curves'!$AU$157) ),2))), IF($B$18="Southern River", IF(E68&lt;38,0,IF(E68&gt;=71,1,ROUND(IF(E68&lt;49, 'Reference Curves'!$AJ$203*E68+'Reference Curves'!$AJ$204, IF(E68&lt;60, 'Reference Curves'!$AK$203*E68+'Reference Curves'!$AK$204, 'Reference Curves'!$AL$203*E68+'Reference Curves'!$AL$204)),2))), IF($B$18="Southern Streams", IF(E68&lt;35,0,IF(E68&gt;=66,1,ROUND(IF(E68&lt;50, 'Reference Curves'!$AM$203*E68+'Reference Curves'!$AM$204, IF(E68&lt;59, 'Reference Curves'!$AN$203*E68+'Reference Curves'!$AN$204, 'Reference Curves'!$AO$203*E68+'Reference Curves'!$AO$204)),2))), IF($B$18="Southern Headwaters", IF(E68&lt;33,0,IF(E68&gt;=74,1,ROUND(IF(E68&lt;55, 'Reference Curves'!$AP$203*E68+'Reference Curves'!$AP$204, IF(E68&lt;62, 'Reference Curves'!$AQ$203*E68+'Reference Curves'!$AQ$204, 'Reference Curves'!$AR$203*E68+'Reference Curves'!$AR$204)),2))), IF($B$18="Southern Coldwater", IF(E68&lt;37,0,IF(E68&gt;=82,1,ROUND(IF(E68&lt;50, 'Reference Curves'!$AS$203*E68+'Reference Curves'!$AS$204, IF(E68&lt;63, 'Reference Curves'!$AT$203*E68+'Reference Curves'!$AT$204, 'Reference Curves'!$AU$203*E68+'Reference Curves'!$AU$204)),2))), IF($B$18="Low Gradient", IF(E68&lt;15,0,IF(E68&gt;=70,1,ROUND(IF(E68&lt;42, 'Reference Curves'!$AJ$247*E68+'Reference Curves'!$AJ$248, IF(E68&lt;52, 'Reference Curves'!$AK$247*E68+'Reference Curves'!$AK$248, 'Reference Curves'!$AL$247*E68+'Reference Curves'!$AL$248)),2))) ))))))))))</f>
        <v/>
      </c>
      <c r="G68" s="205" t="str">
        <f>IFERROR(AVERAGE(F68),"")</f>
        <v/>
      </c>
      <c r="H68" s="481"/>
      <c r="I68" s="482"/>
      <c r="L68" s="71"/>
    </row>
    <row r="69" spans="1:12" ht="15.6" x14ac:dyDescent="0.3">
      <c r="F69" s="137"/>
    </row>
    <row r="71" spans="1:12" ht="21" x14ac:dyDescent="0.4">
      <c r="A71" s="484" t="s">
        <v>49</v>
      </c>
      <c r="B71" s="485"/>
      <c r="C71" s="485"/>
      <c r="D71" s="485"/>
      <c r="E71" s="485"/>
      <c r="F71" s="486"/>
      <c r="G71" s="484" t="s">
        <v>14</v>
      </c>
      <c r="H71" s="485"/>
      <c r="I71" s="486"/>
    </row>
    <row r="72" spans="1:12" ht="15.6" x14ac:dyDescent="0.3">
      <c r="A72" s="68" t="s">
        <v>1</v>
      </c>
      <c r="B72" s="34" t="s">
        <v>171</v>
      </c>
      <c r="C72" s="566" t="s">
        <v>170</v>
      </c>
      <c r="D72" s="567"/>
      <c r="E72" s="68" t="s">
        <v>12</v>
      </c>
      <c r="F72" s="69" t="s">
        <v>13</v>
      </c>
      <c r="G72" s="68" t="s">
        <v>15</v>
      </c>
      <c r="H72" s="68" t="s">
        <v>16</v>
      </c>
      <c r="I72" s="68" t="s">
        <v>16</v>
      </c>
    </row>
    <row r="73" spans="1:12" ht="15.6" x14ac:dyDescent="0.3">
      <c r="A73" s="559" t="s">
        <v>201</v>
      </c>
      <c r="B73" s="563" t="s">
        <v>113</v>
      </c>
      <c r="C73" s="194" t="s">
        <v>169</v>
      </c>
      <c r="D73" s="195"/>
      <c r="E73" s="72"/>
      <c r="F73" s="197" t="str">
        <f>IF(E73="","",IF(E73&gt;=80,0,IF(E73&lt;=40,1,IF(E73&gt;=68,ROUND(E73*'Reference Curves'!$C$14+'Reference Curves'!$C$15,2),ROUND(E73*'Reference Curves'!$D$14+'Reference Curves'!$D$15,2)))))</f>
        <v/>
      </c>
      <c r="G73" s="487" t="str">
        <f>IFERROR(AVERAGE(F73:F75),"")</f>
        <v/>
      </c>
      <c r="H73" s="487" t="str">
        <f>IFERROR(ROUND(AVERAGE(G73:G75),2),"")</f>
        <v/>
      </c>
      <c r="I73" s="475" t="str">
        <f>IF(H73="","",IF(H73:H75&gt;0.69,"Functioning",IF(H73&gt;0.29,"Functioning At Risk",IF(H73&gt;-1,"Not Functioning"))))</f>
        <v/>
      </c>
    </row>
    <row r="74" spans="1:12" ht="15.6" x14ac:dyDescent="0.3">
      <c r="A74" s="560"/>
      <c r="B74" s="564"/>
      <c r="C74" s="262" t="s">
        <v>271</v>
      </c>
      <c r="D74" s="196"/>
      <c r="E74" s="199"/>
      <c r="F74" s="265" t="str">
        <f>IF(E74="","",  IF(E74&gt;0.95,0,IF(E74&lt;=0.02,1,ROUND(IF(E74&gt;0.26, 'Reference Curves'!$C$45*E74+'Reference Curves'!$C$46, IF(E74&lt;0.05, 'Reference Curves'!$E$45*E74+'Reference Curves'!$E$46, 'Reference Curves'!$D$45*E74+'Reference Curves'!$D$46)),2))) )</f>
        <v/>
      </c>
      <c r="G74" s="488"/>
      <c r="H74" s="488"/>
      <c r="I74" s="476"/>
    </row>
    <row r="75" spans="1:12" ht="15.6" x14ac:dyDescent="0.3">
      <c r="A75" s="560"/>
      <c r="B75" s="565"/>
      <c r="C75" s="262" t="s">
        <v>302</v>
      </c>
      <c r="D75" s="196"/>
      <c r="E75" s="70"/>
      <c r="F75" s="263" t="str">
        <f>IF(E75="","",   IF(E75&gt;3.22,0, IF(E75&lt;0, "", ROUND('Reference Curves'!$C$74*E75+'Reference Curves'!$C$75,2))))</f>
        <v/>
      </c>
      <c r="G75" s="489"/>
      <c r="H75" s="488"/>
      <c r="I75" s="477"/>
    </row>
    <row r="76" spans="1:12" ht="15.6" x14ac:dyDescent="0.3">
      <c r="A76" s="561" t="s">
        <v>200</v>
      </c>
      <c r="B76" s="557" t="s">
        <v>5</v>
      </c>
      <c r="C76" s="269" t="s">
        <v>6</v>
      </c>
      <c r="D76" s="270"/>
      <c r="E76" s="72"/>
      <c r="F76" s="272" t="str">
        <f>IF(E76="","",ROUND(IF(E76&gt;1.71,0,IF(E76&lt;=1,1,E76*'Reference Curves'!K$13+'Reference Curves'!K$14)),2))</f>
        <v/>
      </c>
      <c r="G76" s="492" t="str">
        <f>IFERROR(AVERAGE(F76:F77),"")</f>
        <v/>
      </c>
      <c r="H76" s="492" t="str">
        <f>IFERROR(ROUND(AVERAGE(G76),2),"")</f>
        <v/>
      </c>
      <c r="I76" s="476" t="str">
        <f>IF(H76="","",IF(H76&gt;0.69,"Functioning",IF(H76&gt;0.29,"Functioning At Risk",IF(H76&gt;-1,"Not Functioning"))))</f>
        <v/>
      </c>
    </row>
    <row r="77" spans="1:12" ht="15.6" x14ac:dyDescent="0.3">
      <c r="A77" s="562"/>
      <c r="B77" s="558"/>
      <c r="C77" s="182" t="s">
        <v>7</v>
      </c>
      <c r="D77" s="271"/>
      <c r="E77" s="410"/>
      <c r="F77" s="273" t="str">
        <f>IF(E77="","",IF(OR(B$9="A",B$9="Ba",B$9="B", B$9="Bc"),IF(E77&lt;1.2,0,IF(E77&gt;=2.2,1,ROUND(IF(E77&lt;1.4,E77*'Reference Curves'!$K$82+'Reference Curves'!$K$83,E77*'Reference Curves'!$L$82+'Reference Curves'!$L$83),2))),IF(OR(B$9="C",B$9="Cb",B$9="E"),IF(E77&lt;2,0,IF(E77&gt;=5,1,ROUND(IF(E77&lt;2.4,E77*'Reference Curves'!$L$47+'Reference Curves'!$L$48,E77*'Reference Curves'!$K$47+'Reference Curves'!$K$48),2))))))</f>
        <v/>
      </c>
      <c r="G77" s="493"/>
      <c r="H77" s="493"/>
      <c r="I77" s="477"/>
    </row>
    <row r="78" spans="1:12" ht="15.6" x14ac:dyDescent="0.3">
      <c r="A78" s="507" t="s">
        <v>20</v>
      </c>
      <c r="B78" s="507" t="s">
        <v>21</v>
      </c>
      <c r="C78" s="18" t="s">
        <v>19</v>
      </c>
      <c r="D78" s="77"/>
      <c r="E78" s="72"/>
      <c r="F78" s="159" t="str">
        <f>IF(E78="","",IF(E78&gt;=660,1,IF(E78&lt;=430,ROUND('Reference Curves'!$S$14*E78+'Reference Curves'!$S$15,2),ROUND('Reference Curves'!$T$14*E78+'Reference Curves'!$T$15,2))))</f>
        <v/>
      </c>
      <c r="G78" s="509" t="str">
        <f>IFERROR(AVERAGE(F78:F79),"")</f>
        <v/>
      </c>
      <c r="H78" s="509" t="str">
        <f>IFERROR(ROUND(AVERAGE(G78:G91),2),"")</f>
        <v/>
      </c>
      <c r="I78" s="516" t="str">
        <f>IF(H78="","",IF(H78&gt;0.69,"Functioning",IF(H78&gt;0.29,"Functioning At Risk",IF(H78&gt;-1,"Not Functioning"))))</f>
        <v/>
      </c>
    </row>
    <row r="79" spans="1:12" ht="15.6" x14ac:dyDescent="0.3">
      <c r="A79" s="511"/>
      <c r="B79" s="508"/>
      <c r="C79" s="17" t="s">
        <v>353</v>
      </c>
      <c r="D79" s="209"/>
      <c r="E79" s="73"/>
      <c r="F79" s="210" t="str">
        <f>IF(E79="","",IF(E79&gt;=28,1,ROUND(IF(E79&lt;=13,'Reference Curves'!$S$47*E79,'Reference Curves'!$T$47*E79+'Reference Curves'!$T$48),2)))</f>
        <v/>
      </c>
      <c r="G79" s="510"/>
      <c r="H79" s="515"/>
      <c r="I79" s="517"/>
    </row>
    <row r="80" spans="1:12" ht="15.6" x14ac:dyDescent="0.3">
      <c r="A80" s="511"/>
      <c r="B80" s="511" t="s">
        <v>196</v>
      </c>
      <c r="C80" s="80" t="s">
        <v>43</v>
      </c>
      <c r="D80" s="80"/>
      <c r="E80" s="199"/>
      <c r="F80" s="160" t="str">
        <f>IF(E80="","",IF(OR(E80="Ex/Ex",E80="Ex/VH",E80="Ex/H",E80="Ex/M",E80="VH/Ex",E80="VH/VH", E80="H/Ex",E80="H/VH"),0, IF(OR(E80="M/Ex"),0.1,IF(OR(E80="VH/H",E80="VH/M",E80="H/H",E80="H/M", E80="M/VH"),0.2, IF(OR(E80="Ex/VL",E80="Ex/L", E80="M/H"),0.3, IF(OR(E80="VH/L",E80="H/L"),0.4, IF(OR(E80="VH/VL",E80="H/VL",E80="M/M"),0.5, IF(OR(E80="M/L",E80="L/Ex"),0.6, IF(OR(E80="M/VL",E80="L/VH", E80="L/H",E80="L/M",E80="L/L",E80="L/VL",LEFT(E80)="V"),1)))))))))</f>
        <v/>
      </c>
      <c r="G80" s="509" t="str">
        <f>IFERROR(AVERAGE(F80:F82),"")</f>
        <v/>
      </c>
      <c r="H80" s="515"/>
      <c r="I80" s="517"/>
    </row>
    <row r="81" spans="1:9" ht="15.6" x14ac:dyDescent="0.3">
      <c r="A81" s="511"/>
      <c r="B81" s="511"/>
      <c r="C81" s="173" t="s">
        <v>79</v>
      </c>
      <c r="D81" s="174"/>
      <c r="E81" s="200"/>
      <c r="F81" s="160" t="str">
        <f>IF(E81="","",ROUND(IF(E81&gt;=75,0,IF(E81&lt;=5,1,IF(E81&gt;10,E81*'Reference Curves'!S$81+'Reference Curves'!S$82,'Reference Curves'!$T$81*E81+'Reference Curves'!$T$82))),2))</f>
        <v/>
      </c>
      <c r="G81" s="515"/>
      <c r="H81" s="515"/>
      <c r="I81" s="517"/>
    </row>
    <row r="82" spans="1:9" ht="15.6" x14ac:dyDescent="0.3">
      <c r="A82" s="511"/>
      <c r="B82" s="508"/>
      <c r="C82" s="176" t="s">
        <v>195</v>
      </c>
      <c r="D82" s="175"/>
      <c r="E82" s="73"/>
      <c r="F82" s="161" t="str">
        <f>IF(E82="","",IF(E82&gt;=50,0,ROUND(E82*'Reference Curves'!$S$112+'Reference Curves'!$S$113,2)))</f>
        <v/>
      </c>
      <c r="G82" s="510"/>
      <c r="H82" s="515"/>
      <c r="I82" s="517"/>
    </row>
    <row r="83" spans="1:9" ht="15.6" x14ac:dyDescent="0.3">
      <c r="A83" s="511"/>
      <c r="B83" s="87" t="s">
        <v>97</v>
      </c>
      <c r="C83" s="17" t="s">
        <v>115</v>
      </c>
      <c r="D83" s="80"/>
      <c r="E83" s="73"/>
      <c r="F83" s="82" t="str">
        <f>IF(OR(E83="",B$14=""),"",IF(OR(B$14="Silt/Clay",B$14="Sand",B$14="Boulders",B$14="Bedrock"),"NA",IF(E83&gt;0.1,1,IF(E83&lt;=0.01,0,ROUND(E83*'Reference Curves'!$S$143+'Reference Curves'!$S$144,2)))))</f>
        <v/>
      </c>
      <c r="G83" s="82" t="str">
        <f>IFERROR(AVERAGE(F83),"")</f>
        <v/>
      </c>
      <c r="H83" s="515"/>
      <c r="I83" s="517"/>
    </row>
    <row r="84" spans="1:9" ht="15.6" x14ac:dyDescent="0.3">
      <c r="A84" s="511"/>
      <c r="B84" s="507" t="s">
        <v>45</v>
      </c>
      <c r="C84" s="77" t="s">
        <v>46</v>
      </c>
      <c r="D84" s="77"/>
      <c r="E84" s="83"/>
      <c r="F84" s="84" t="str">
        <f>IF(E84="","", IF(OR(LEFT($B$9)="C",$B$9="E"), IF(OR(E84&lt;=1,E84&gt;=9),0,IF(AND(E84&gt;=3.5,E84&lt;=6),1,IF(E84&lt;3.5, ROUND(E84*'Reference Curves'!$S$243+'Reference Curves'!$S$244,2), ROUND(E84*'Reference Curves'!$T$243+'Reference Curves'!$T$244,2)))),   IF(OR(($B$9)="A",($B$9)="B",($B$9)="Ba"), IF(E84&gt;=6.5,0, IF(E84&lt;=4, 1, ROUND(E84^2*'Reference Curves'!$S$177+E84*'Reference Curves'!$S$178+'Reference Curves'!$S$179,2))), IF($B$9="Bc",  IF(E84&gt;=8,0, IF(E84&lt;=5, 1, ROUND(E84^2*'Reference Curves'!$S$209+E84*'Reference Curves'!$S$210+'Reference Curves'!$S$211,2)))))))</f>
        <v/>
      </c>
      <c r="G84" s="512" t="str">
        <f>IFERROR(AVERAGE(F84:F87),"")</f>
        <v/>
      </c>
      <c r="H84" s="515"/>
      <c r="I84" s="517"/>
    </row>
    <row r="85" spans="1:9" ht="15.6" x14ac:dyDescent="0.3">
      <c r="A85" s="511"/>
      <c r="B85" s="511"/>
      <c r="C85" s="80" t="s">
        <v>47</v>
      </c>
      <c r="D85" s="80"/>
      <c r="E85" s="81"/>
      <c r="F85" s="85" t="str">
        <f>IF(E85="","", ROUND(  IF(E85&lt;=1.1,0, IF(E85&gt;=3,1, IF(E85&lt;2, E85^2*'Reference Curves'!$S$276+  E85*'Reference Curves'!$S$277 + 'Reference Curves'!$S$278,     E85*'Reference Curves'!$T$277 + 'Reference Curves'!$T$278))),2))</f>
        <v/>
      </c>
      <c r="G85" s="513"/>
      <c r="H85" s="515"/>
      <c r="I85" s="517"/>
    </row>
    <row r="86" spans="1:9" ht="15.6" x14ac:dyDescent="0.3">
      <c r="A86" s="511"/>
      <c r="B86" s="511"/>
      <c r="C86" s="15" t="s">
        <v>173</v>
      </c>
      <c r="D86" s="80"/>
      <c r="E86" s="81"/>
      <c r="F86" s="391" t="str">
        <f>IF(E86="","",IF(OR($B$9="A",LEFT($B$9,1)="B"),IF(OR(E86&lt;=20,E86&gt;=90),0,IF(AND(E86&gt;=50,E86&lt;=60),1,IF(E86&lt;50,ROUND(E86*'Reference Curves'!$S$310+'Reference Curves'!$S$311,2),ROUND(E86*'Reference Curves'!$T$310+'Reference Curves'!$T$311,2)))),IF(OR(LEFT($B$9)="C",$B$9="E"),IF(OR(E86&lt;=20,E86&gt;=85),0,IF(AND(E86&lt;=65,E86&gt;=45),1,IF(E86&lt;45,ROUND(E86*'Reference Curves'!$S$343+'Reference Curves'!$S$344,2),ROUND(E86*'Reference Curves'!$T$343+'Reference Curves'!$T$344,2)))))))</f>
        <v/>
      </c>
      <c r="G86" s="513"/>
      <c r="H86" s="515"/>
      <c r="I86" s="517"/>
    </row>
    <row r="87" spans="1:9" ht="16.5" customHeight="1" x14ac:dyDescent="0.3">
      <c r="A87" s="511"/>
      <c r="B87" s="508"/>
      <c r="C87" s="79" t="s">
        <v>136</v>
      </c>
      <c r="D87" s="79"/>
      <c r="E87" s="86"/>
      <c r="F87" s="287" t="str">
        <f>IF(E87="","",IF(E87&gt;=1.6,0,IF(E87&lt;=1,1,ROUND('Reference Curves'!$S$375*E87^3+'Reference Curves'!$S$376*E87^2+'Reference Curves'!$S$377*E87+'Reference Curves'!$S$378,2))))</f>
        <v/>
      </c>
      <c r="G87" s="514"/>
      <c r="H87" s="515"/>
      <c r="I87" s="517"/>
    </row>
    <row r="88" spans="1:9" ht="15.6" x14ac:dyDescent="0.3">
      <c r="A88" s="511"/>
      <c r="B88" s="507" t="s">
        <v>44</v>
      </c>
      <c r="C88" s="16" t="s">
        <v>295</v>
      </c>
      <c r="D88" s="179"/>
      <c r="E88" s="180"/>
      <c r="F88" s="172" t="str">
        <f>IF(E88="","",IF($B$19="Unconfined Alluvial",IF(E88&gt;=100,1,IF(E88&lt;30,0,ROUND('Reference Curves'!$S$411*E88+'Reference Curves'!$S$412,2))),IF(OR($B$19="Confined Alluvial",$B$19="Colluvial/V-Shaped"),(IF(E88&gt;=100,1,IF(E88&lt;60,0,ROUND('Reference Curves'!$T$411*E88+'Reference Curves'!$T$412,2)))))))</f>
        <v/>
      </c>
      <c r="G88" s="509" t="str">
        <f>IFERROR(AVERAGE(F88:F91),"")</f>
        <v/>
      </c>
      <c r="H88" s="515"/>
      <c r="I88" s="517"/>
    </row>
    <row r="89" spans="1:9" ht="15.6" x14ac:dyDescent="0.3">
      <c r="A89" s="511"/>
      <c r="B89" s="511"/>
      <c r="C89" s="145" t="s">
        <v>297</v>
      </c>
      <c r="D89" s="169"/>
      <c r="E89" s="177"/>
      <c r="F89" s="85" t="str">
        <f>IF(E89="","",IF($B$10="Yes",IF(E89&lt;=50,0,IF(E89&gt;=80,1,ROUND('Reference Curves'!$S$445*E89+'Reference Curves'!$S$446,2))),IF($B$10="No",IF(E89&gt;=80,0,IF(E89&lt;=50,1,ROUND(E89*'Reference Curves'!$T$445+'Reference Curves'!$T$446,2))))))</f>
        <v/>
      </c>
      <c r="G89" s="515"/>
      <c r="H89" s="515"/>
      <c r="I89" s="517"/>
    </row>
    <row r="90" spans="1:9" ht="15.6" x14ac:dyDescent="0.3">
      <c r="A90" s="511"/>
      <c r="B90" s="519"/>
      <c r="C90" s="145" t="s">
        <v>189</v>
      </c>
      <c r="D90" s="169"/>
      <c r="E90" s="177"/>
      <c r="F90" s="85" t="str">
        <f>IF(E90="","",IF(E90&lt;=50,0,IF(E90&gt;=80,1, ROUND(E90*'Reference Curves'!$S$477+'Reference Curves'!$S$478,2))))</f>
        <v/>
      </c>
      <c r="G90" s="513"/>
      <c r="H90" s="515"/>
      <c r="I90" s="517"/>
    </row>
    <row r="91" spans="1:9" ht="15.6" x14ac:dyDescent="0.3">
      <c r="A91" s="508"/>
      <c r="B91" s="508"/>
      <c r="C91" s="520" t="s">
        <v>377</v>
      </c>
      <c r="D91" s="521"/>
      <c r="E91" s="178"/>
      <c r="F91" s="85" t="str">
        <f>IF(E91="","",IF($B$10="Yes",IF(E91&lt;=9,0,IF(E91&gt;=14,1,ROUND('Reference Curves'!$S$509*E91+'Reference Curves'!$S$510,2))),"FALSE"))</f>
        <v/>
      </c>
      <c r="G91" s="510"/>
      <c r="H91" s="510"/>
      <c r="I91" s="518"/>
    </row>
    <row r="92" spans="1:9" ht="15.6" x14ac:dyDescent="0.3">
      <c r="A92" s="502" t="s">
        <v>51</v>
      </c>
      <c r="B92" s="322" t="s">
        <v>74</v>
      </c>
      <c r="C92" s="317" t="s">
        <v>272</v>
      </c>
      <c r="D92" s="316"/>
      <c r="E92" s="44"/>
      <c r="F92" s="319" t="str">
        <f>IF(E92="","",  IF(E92&gt;=25,0,IF(E92&lt;=10,1,ROUND(IF(E92&gt;18, 'Reference Curves'!$AA$14*E92+'Reference Curves'!$AA$15, IF(E92&lt;12, 'Reference Curves'!$AC$14*E92+'Reference Curves'!$AC$15, 'Reference Curves'!$AB$14*E92+'Reference Curves'!$AB$15)),2))) )</f>
        <v/>
      </c>
      <c r="G92" s="321" t="str">
        <f t="shared" ref="G92:G93" si="2">IFERROR(AVERAGE(F92),"")</f>
        <v/>
      </c>
      <c r="H92" s="483" t="str">
        <f>IFERROR(ROUND(AVERAGE(G92:G94),2),"")</f>
        <v/>
      </c>
      <c r="I92" s="482" t="str">
        <f>IF(H92="","",IF(H92&gt;0.69,"Functioning",IF(H92&gt;0.29,"Functioning At Risk",IF(H92&gt;-1,"Not Functioning"))))</f>
        <v/>
      </c>
    </row>
    <row r="93" spans="1:9" ht="15.6" x14ac:dyDescent="0.3">
      <c r="A93" s="503"/>
      <c r="B93" s="323" t="s">
        <v>280</v>
      </c>
      <c r="C93" s="314" t="s">
        <v>281</v>
      </c>
      <c r="D93" s="315"/>
      <c r="E93" s="199"/>
      <c r="F93" s="320" t="str">
        <f>IF(E93="","",IF($B$11="2A",IF(E93&lt;=5.3,0,IF(E93&gt;=8.79,1,ROUND(E93*'Reference Curves'!$AA$50+'Reference Curves'!$AA$51,2))),IF($B$11=7,IF(E93&lt;=0.8,0,IF(E93&gt;=1.25,1,ROUND(E93*'Reference Curves'!$AC$50+'Reference Curves'!$AC$51,2))),IF(OR($B$11="2B", $B$11="2Bd",$B$11="2C"),IF(E93&lt;=3.8,0,(IF(E93&gt;=6.24,1,ROUND(E93*'Reference Curves'!$AB$50+'Reference Curves'!$AB$51,2))))))))</f>
        <v/>
      </c>
      <c r="G93" s="321" t="str">
        <f t="shared" si="2"/>
        <v/>
      </c>
      <c r="H93" s="483"/>
      <c r="I93" s="482"/>
    </row>
    <row r="94" spans="1:9" ht="15.6" x14ac:dyDescent="0.3">
      <c r="A94" s="504"/>
      <c r="B94" s="289" t="s">
        <v>293</v>
      </c>
      <c r="C94" s="317" t="s">
        <v>294</v>
      </c>
      <c r="D94" s="318"/>
      <c r="E94" s="44"/>
      <c r="F94" s="320" t="str">
        <f>IF(E94="","",IF(B$11="2A",IF(E94&gt;=12.5,0,IF(E94&lt;=7.5,1,ROUND(E94*'Reference Curves'!$AA$86+'Reference Curves'!$AA$87,2))),IF(OR(B$11="2B",B$11="2Bd",B$11="2C"),IF(B$12="North",IF(E94&gt;=18.8,0,IF(E94&lt;=11.3,1,ROUND(E94*'Reference Curves'!$AB$86+'Reference Curves'!$AB$87,2))),IF(B$12="Central",(IF(E94&gt;=37.5,0,IF(E94&lt;=22.5,1,ROUND(E94*'Reference Curves'!$AC$86+'Reference Curves'!$AC$87,2)))),IF(E94&gt;=81.2,0,(IF(E94&lt;=48.7,1,ROUND(E94*'Reference Curves'!$AD$86+'Reference Curves'!$AD$87,2)))))))))</f>
        <v/>
      </c>
      <c r="G94" s="321" t="str">
        <f>IFERROR(AVERAGE(F94),"")</f>
        <v/>
      </c>
      <c r="H94" s="483"/>
      <c r="I94" s="482"/>
    </row>
    <row r="95" spans="1:9" ht="15.6" x14ac:dyDescent="0.3">
      <c r="A95" s="505" t="s">
        <v>52</v>
      </c>
      <c r="B95" s="204" t="s">
        <v>129</v>
      </c>
      <c r="C95" s="203" t="s">
        <v>226</v>
      </c>
      <c r="D95" s="88"/>
      <c r="E95" s="72"/>
      <c r="F95" s="89" t="str">
        <f>IF(E95="","",IF($B$17="Northern Forest Rivers",IF(E95&lt;=38.2,0,IF(E95&gt;=77,1,ROUND(IF(E95&lt;49, 'Reference Curves'!$AJ$18*E95+'Reference Curves'!$AJ$19, IF(E95&lt;59.8, 'Reference Curves'!$AK$18*E95+'Reference Curves'!$AK$19, 'Reference Curves'!$AL$18*E95+'Reference Curves'!$AL$19)),2))),   IF($B$17="Northern Forest Streams Riffle-run",IF(E95&lt;40.4,0,IF(E95&gt;=82,1,ROUND(IF(E95&lt;53, 'Reference Curves'!$AM$18*E95+'Reference Curves'!$AM$19, IF(E95&lt;59.8, 'Reference Curves'!$AN$18*E95+'Reference Curves'!$AN$19, 'Reference Curves'!$AO$18*E95+'Reference Curves'!$AO$19) ),2))), IF($B$17="Northern Forest Streams Glide-pool",IF(E95&lt;=37,0,IF(E95&gt;=76,1,ROUND(IF(E95&lt;51, 'Reference Curves'!$AP$18*E95+'Reference Curves'!$AP$19, IF(E95&lt;65.6, 'Reference Curves'!$AQ$18*E95+'Reference Curves'!$AQ$19, 'Reference Curves'!$AR$18*E95+'Reference Curves'!$AR$19) ),2))), IF($B$17="Northern Coldwater",IF(E95&lt;19.6,0,IF(E95&gt;=52,1,ROUND(IF(E95&lt;32, 'Reference Curves'!$AS$18*E95+'Reference Curves'!$AS$19, IF(E95&lt;44.4, 'Reference Curves'!$AT$18*E95+'Reference Curves'!$AT$19, 'Reference Curves'!$AU$18*E95+'Reference Curves'!$AU$19) ),2))), IF($B$17="Southern Forest Streams Riffle-run", IF(E95&lt;24,0,IF(E95&gt;=62,1,ROUND(IF(E95&lt;37, 'Reference Curves'!$AJ$65*E95+'Reference Curves'!$AJ$66, IF(E95&lt;49.6, 'Reference Curves'!$AK$65*E95+'Reference Curves'!$AK$66, 'Reference Curves'!$AL$65*E95+'Reference Curves'!$AL$66)),2))), IF($B$17="Southern Forest Streams Glide-pool", IF(E95&lt;29.4,0,IF(E95&gt;=65,1,ROUND(IF(E95&lt;43, 'Reference Curves'!$AM$65*E95+'Reference Curves'!$AM$66, IF(E95&lt;56.6, 'Reference Curves'!$AN$65*E95+'Reference Curves'!$AN$66, 'Reference Curves'!$AO$65*E95+'Reference Curves'!$AO$66)),2))), IF($B$17="Southern Coldwater", IF(E95&lt;29.2,0,IF(E95&gt;=72,1,ROUND(IF(E95&lt;43, 'Reference Curves'!$AP$65*E95+'Reference Curves'!$AP$66, IF(E95&lt;56.8, 'Reference Curves'!$AQ$65*E95+'Reference Curves'!$AQ$66, 'Reference Curves'!$AR$65*E95+'Reference Curves'!$AR$66)),2))), IF($B$17="Prairie Forest Rivers", IF(E95&lt;20.2,0,IF(E95&gt;=62,1,ROUND(IF(E95&lt;31, 'Reference Curves'!$AJ$110*E95+'Reference Curves'!$AJ$111, IF(E95&lt;41.8, 'Reference Curves'!$AK$110*E95+'Reference Curves'!$AK$111, 'Reference Curves'!$AL$110*E95+'Reference Curves'!$AL$111)),2))), IF($B$17="Prairie Streams Glide-Pool", IF(E95&lt;27.4,0,IF(E95&gt;=69,1,ROUND(IF(E95&lt;41, 'Reference Curves'!$AM$110*E95+'Reference Curves'!$AM$111, IF(E95&lt;54.6, 'Reference Curves'!$AN$110*E95+'Reference Curves'!$AN$111, 'Reference Curves'!$AO$110*E95+'Reference Curves'!$AO$111)),2))) ))))))))))</f>
        <v/>
      </c>
      <c r="G95" s="205" t="str">
        <f>IFERROR(AVERAGE(F95),"")</f>
        <v/>
      </c>
      <c r="H95" s="481" t="str">
        <f>IFERROR(ROUND(AVERAGE(G95:G96),2),"")</f>
        <v/>
      </c>
      <c r="I95" s="482" t="str">
        <f>IF(H95="","",IF(H95&gt;0.69,"Functioning",IF(H95&gt;0.29,"Functioning At Risk",IF(H95&gt;-1,"Not Functioning"))))</f>
        <v/>
      </c>
    </row>
    <row r="96" spans="1:9" ht="15.6" x14ac:dyDescent="0.3">
      <c r="A96" s="506"/>
      <c r="B96" s="206" t="s">
        <v>70</v>
      </c>
      <c r="C96" s="207" t="s">
        <v>227</v>
      </c>
      <c r="D96" s="208"/>
      <c r="E96" s="13"/>
      <c r="F96" s="89" t="str">
        <f>IF(E96="","",IF($B$18="Northern Rivers",IF(E96&lt;29,0,IF(E96&gt;=66,1,ROUND(IF(E96&lt;38, 'Reference Curves'!$AJ$156*E96+'Reference Curves'!$AJ$157, IF(E96&lt;47, 'Reference Curves'!$AK$156*E96+'Reference Curves'!$AK$157, 'Reference Curves'!$AL$156*E96+'Reference Curves'!$AL$157)),2))),   IF($B$18="Northern Streams",IF(E96&lt;35,0,IF(E96&gt;=61,1,ROUND(IF(E96&lt;47, 'Reference Curves'!$AM$156*E96+'Reference Curves'!$AM$157, IF(E96&lt;56, 'Reference Curves'!$AN$156*E96+'Reference Curves'!$AN$157, 'Reference Curves'!$AO$156*E96+'Reference Curves'!$AO$157) ),2))), IF($B$18="Northern Headwaters",IF(E96&lt;23,0,IF(E96&gt;=68,1,ROUND(IF(E96&lt;42, 'Reference Curves'!$AP$156*E96+'Reference Curves'!$AP$157, IF(E96&lt;56, 'Reference Curves'!$AQ$156*E96+'Reference Curves'!$AQ$157, 'Reference Curves'!$AR$156*E96+'Reference Curves'!$AR$157) ),2))), IF($B$18="Northern Coldwater",IF(E96&lt;25,0,IF(E96&gt;=60,1,ROUND(IF(E96&lt;35, 'Reference Curves'!$AS$156*E96+'Reference Curves'!$AS$157, IF(E96&lt;45, 'Reference Curves'!$AT$156*E96+'Reference Curves'!$AT$157, 'Reference Curves'!$AU$156*E96+'Reference Curves'!$AU$157) ),2))), IF($B$18="Southern River", IF(E96&lt;38,0,IF(E96&gt;=71,1,ROUND(IF(E96&lt;49, 'Reference Curves'!$AJ$203*E96+'Reference Curves'!$AJ$204, IF(E96&lt;60, 'Reference Curves'!$AK$203*E96+'Reference Curves'!$AK$204, 'Reference Curves'!$AL$203*E96+'Reference Curves'!$AL$204)),2))), IF($B$18="Southern Streams", IF(E96&lt;35,0,IF(E96&gt;=66,1,ROUND(IF(E96&lt;50, 'Reference Curves'!$AM$203*E96+'Reference Curves'!$AM$204, IF(E96&lt;59, 'Reference Curves'!$AN$203*E96+'Reference Curves'!$AN$204, 'Reference Curves'!$AO$203*E96+'Reference Curves'!$AO$204)),2))), IF($B$18="Southern Headwaters", IF(E96&lt;33,0,IF(E96&gt;=74,1,ROUND(IF(E96&lt;55, 'Reference Curves'!$AP$203*E96+'Reference Curves'!$AP$204, IF(E96&lt;62, 'Reference Curves'!$AQ$203*E96+'Reference Curves'!$AQ$204, 'Reference Curves'!$AR$203*E96+'Reference Curves'!$AR$204)),2))), IF($B$18="Southern Coldwater", IF(E96&lt;37,0,IF(E96&gt;=82,1,ROUND(IF(E96&lt;50, 'Reference Curves'!$AS$203*E96+'Reference Curves'!$AS$204, IF(E96&lt;63, 'Reference Curves'!$AT$203*E96+'Reference Curves'!$AT$204, 'Reference Curves'!$AU$203*E96+'Reference Curves'!$AU$204)),2))), IF($B$18="Low Gradient", IF(E96&lt;15,0,IF(E96&gt;=70,1,ROUND(IF(E96&lt;42, 'Reference Curves'!$AJ$247*E96+'Reference Curves'!$AJ$248, IF(E96&lt;52, 'Reference Curves'!$AK$247*E96+'Reference Curves'!$AK$248, 'Reference Curves'!$AL$247*E96+'Reference Curves'!$AL$248)),2))) ))))))))))</f>
        <v/>
      </c>
      <c r="G96" s="205" t="str">
        <f>IFERROR(AVERAGE(F96),"")</f>
        <v/>
      </c>
      <c r="H96" s="481"/>
      <c r="I96" s="482"/>
    </row>
  </sheetData>
  <sheetProtection password="9A39" sheet="1" formatColumns="0" formatRows="0"/>
  <dataConsolidate link="1"/>
  <mergeCells count="108">
    <mergeCell ref="I50:I63"/>
    <mergeCell ref="A45:A47"/>
    <mergeCell ref="G52:G54"/>
    <mergeCell ref="C44:D44"/>
    <mergeCell ref="H31:H32"/>
    <mergeCell ref="I31:I32"/>
    <mergeCell ref="I35:I36"/>
    <mergeCell ref="G48:G49"/>
    <mergeCell ref="I45:I47"/>
    <mergeCell ref="I48:I49"/>
    <mergeCell ref="F37:G38"/>
    <mergeCell ref="H37:H38"/>
    <mergeCell ref="I37:I38"/>
    <mergeCell ref="G56:G59"/>
    <mergeCell ref="B60:B63"/>
    <mergeCell ref="B56:B59"/>
    <mergeCell ref="B52:B54"/>
    <mergeCell ref="F27:G28"/>
    <mergeCell ref="H27:H28"/>
    <mergeCell ref="I27:I28"/>
    <mergeCell ref="J29:J30"/>
    <mergeCell ref="A39:A40"/>
    <mergeCell ref="B45:B47"/>
    <mergeCell ref="A48:A49"/>
    <mergeCell ref="A36:A38"/>
    <mergeCell ref="J35:J36"/>
    <mergeCell ref="J37:J38"/>
    <mergeCell ref="B76:B77"/>
    <mergeCell ref="A67:A68"/>
    <mergeCell ref="B48:B49"/>
    <mergeCell ref="A73:A75"/>
    <mergeCell ref="A76:A77"/>
    <mergeCell ref="A50:A63"/>
    <mergeCell ref="G73:G75"/>
    <mergeCell ref="H73:H75"/>
    <mergeCell ref="H76:H77"/>
    <mergeCell ref="G76:G77"/>
    <mergeCell ref="A71:F71"/>
    <mergeCell ref="B73:B75"/>
    <mergeCell ref="G71:I71"/>
    <mergeCell ref="C72:D72"/>
    <mergeCell ref="I67:I68"/>
    <mergeCell ref="I64:I66"/>
    <mergeCell ref="G50:G51"/>
    <mergeCell ref="H67:H68"/>
    <mergeCell ref="H64:H66"/>
    <mergeCell ref="B50:B51"/>
    <mergeCell ref="A64:A66"/>
    <mergeCell ref="H50:H63"/>
    <mergeCell ref="G60:G63"/>
    <mergeCell ref="C63:D63"/>
    <mergeCell ref="D4:J4"/>
    <mergeCell ref="D5:J5"/>
    <mergeCell ref="A3:B4"/>
    <mergeCell ref="D3:J3"/>
    <mergeCell ref="A31:A35"/>
    <mergeCell ref="D6:J6"/>
    <mergeCell ref="A26:D26"/>
    <mergeCell ref="F26:J26"/>
    <mergeCell ref="F33:G34"/>
    <mergeCell ref="H33:H34"/>
    <mergeCell ref="I33:I34"/>
    <mergeCell ref="J33:J34"/>
    <mergeCell ref="A27:A28"/>
    <mergeCell ref="F31:G32"/>
    <mergeCell ref="D8:F8"/>
    <mergeCell ref="B27:B28"/>
    <mergeCell ref="D18:E18"/>
    <mergeCell ref="C27:C28"/>
    <mergeCell ref="H8:J8"/>
    <mergeCell ref="D9:E9"/>
    <mergeCell ref="D10:E10"/>
    <mergeCell ref="D11:E11"/>
    <mergeCell ref="J27:J28"/>
    <mergeCell ref="D27:D28"/>
    <mergeCell ref="G84:G87"/>
    <mergeCell ref="H78:H91"/>
    <mergeCell ref="I78:I91"/>
    <mergeCell ref="B80:B82"/>
    <mergeCell ref="G80:G82"/>
    <mergeCell ref="A78:A91"/>
    <mergeCell ref="B88:B91"/>
    <mergeCell ref="G88:G91"/>
    <mergeCell ref="C91:D91"/>
    <mergeCell ref="I73:I75"/>
    <mergeCell ref="I76:I77"/>
    <mergeCell ref="D21:J24"/>
    <mergeCell ref="D19:E19"/>
    <mergeCell ref="H95:H96"/>
    <mergeCell ref="I92:I94"/>
    <mergeCell ref="H92:H94"/>
    <mergeCell ref="G43:I43"/>
    <mergeCell ref="G45:G47"/>
    <mergeCell ref="J31:J32"/>
    <mergeCell ref="H45:H47"/>
    <mergeCell ref="H48:H49"/>
    <mergeCell ref="I29:I30"/>
    <mergeCell ref="H29:H30"/>
    <mergeCell ref="F29:G30"/>
    <mergeCell ref="F35:G36"/>
    <mergeCell ref="H35:H36"/>
    <mergeCell ref="A43:F43"/>
    <mergeCell ref="A92:A94"/>
    <mergeCell ref="A95:A96"/>
    <mergeCell ref="I95:I96"/>
    <mergeCell ref="B78:B79"/>
    <mergeCell ref="G78:G79"/>
    <mergeCell ref="B84:B87"/>
  </mergeCells>
  <conditionalFormatting sqref="H33:I33 H29:I29 H35:I35 C29:D40">
    <cfRule type="cellIs" dxfId="62" priority="53" operator="between">
      <formula>0.7</formula>
      <formula>1</formula>
    </cfRule>
    <cfRule type="cellIs" dxfId="61" priority="54" operator="between">
      <formula>0.6999999</formula>
      <formula>0.3</formula>
    </cfRule>
    <cfRule type="cellIs" dxfId="60" priority="55" operator="between">
      <formula>0</formula>
      <formula>0.299999</formula>
    </cfRule>
  </conditionalFormatting>
  <conditionalFormatting sqref="I3:J9 J10 I33:J33 I35:J35 I27:J27 I29:J29 I11:J19">
    <cfRule type="containsText" dxfId="59" priority="51" stopIfTrue="1" operator="containsText" text="Not Functioning">
      <formula>NOT(ISERROR(SEARCH("Not Functioning",I3)))</formula>
    </cfRule>
    <cfRule type="containsText" dxfId="58" priority="52" operator="containsText" text="Functioning">
      <formula>NOT(ISERROR(SEARCH("Functioning",I3)))</formula>
    </cfRule>
  </conditionalFormatting>
  <conditionalFormatting sqref="H33:I33 H29:I29 H35:I35">
    <cfRule type="expression" dxfId="57" priority="41">
      <formula>$C$29:$D$40="&gt;1"</formula>
    </cfRule>
  </conditionalFormatting>
  <conditionalFormatting sqref="I45">
    <cfRule type="containsText" dxfId="56" priority="37" stopIfTrue="1" operator="containsText" text="Functioning At Risk">
      <formula>NOT(ISERROR(SEARCH("Functioning At Risk",I45)))</formula>
    </cfRule>
    <cfRule type="containsText" dxfId="55" priority="38" stopIfTrue="1" operator="containsText" text="Not Functioning">
      <formula>NOT(ISERROR(SEARCH("Not Functioning",I45)))</formula>
    </cfRule>
    <cfRule type="containsText" dxfId="54" priority="39" operator="containsText" text="Functioning">
      <formula>NOT(ISERROR(SEARCH("Functioning",I45)))</formula>
    </cfRule>
  </conditionalFormatting>
  <conditionalFormatting sqref="I78">
    <cfRule type="containsText" dxfId="53" priority="31" stopIfTrue="1" operator="containsText" text="Functioning At Risk">
      <formula>NOT(ISERROR(SEARCH("Functioning At Risk",I78)))</formula>
    </cfRule>
    <cfRule type="containsText" dxfId="52" priority="32" stopIfTrue="1" operator="containsText" text="Not Functioning">
      <formula>NOT(ISERROR(SEARCH("Not Functioning",I78)))</formula>
    </cfRule>
    <cfRule type="containsText" dxfId="51" priority="33" operator="containsText" text="Functioning">
      <formula>NOT(ISERROR(SEARCH("Functioning",I78)))</formula>
    </cfRule>
  </conditionalFormatting>
  <conditionalFormatting sqref="H31:I31">
    <cfRule type="cellIs" dxfId="50" priority="26" operator="between">
      <formula>0.7</formula>
      <formula>1</formula>
    </cfRule>
    <cfRule type="cellIs" dxfId="49" priority="27" operator="between">
      <formula>0.6999999</formula>
      <formula>0.3</formula>
    </cfRule>
    <cfRule type="cellIs" dxfId="48" priority="28" operator="between">
      <formula>0</formula>
      <formula>0.299999</formula>
    </cfRule>
  </conditionalFormatting>
  <conditionalFormatting sqref="I31:J31">
    <cfRule type="containsText" dxfId="47" priority="24" stopIfTrue="1" operator="containsText" text="Not Functioning">
      <formula>NOT(ISERROR(SEARCH("Not Functioning",I31)))</formula>
    </cfRule>
    <cfRule type="containsText" dxfId="46" priority="25" operator="containsText" text="Functioning">
      <formula>NOT(ISERROR(SEARCH("Functioning",I31)))</formula>
    </cfRule>
  </conditionalFormatting>
  <conditionalFormatting sqref="H31:I31">
    <cfRule type="expression" dxfId="45" priority="23">
      <formula>$C$29:$D$40="&gt;1"</formula>
    </cfRule>
  </conditionalFormatting>
  <conditionalFormatting sqref="I73">
    <cfRule type="containsText" dxfId="44" priority="20" stopIfTrue="1" operator="containsText" text="Functioning At Risk">
      <formula>NOT(ISERROR(SEARCH("Functioning At Risk",I73)))</formula>
    </cfRule>
    <cfRule type="containsText" dxfId="43" priority="21" stopIfTrue="1" operator="containsText" text="Not Functioning">
      <formula>NOT(ISERROR(SEARCH("Not Functioning",I73)))</formula>
    </cfRule>
    <cfRule type="containsText" dxfId="42" priority="22" operator="containsText" text="Functioning">
      <formula>NOT(ISERROR(SEARCH("Functioning",I73)))</formula>
    </cfRule>
  </conditionalFormatting>
  <conditionalFormatting sqref="I48 I50 I64:I68 I76:I96">
    <cfRule type="containsText" dxfId="41" priority="56" stopIfTrue="1" operator="containsText" text="Functioning At Risk">
      <formula>NOT(ISERROR(SEARCH("Functioning At Risk",I48)))</formula>
    </cfRule>
    <cfRule type="containsText" dxfId="40" priority="58" stopIfTrue="1" operator="containsText" text="Not Functioning">
      <formula>NOT(ISERROR(SEARCH("Not Functioning",I48)))</formula>
    </cfRule>
    <cfRule type="containsText" dxfId="39" priority="59" operator="containsText" text="Functioning">
      <formula>NOT(ISERROR(SEARCH("Functioning",I48)))</formula>
    </cfRule>
  </conditionalFormatting>
  <conditionalFormatting sqref="J37">
    <cfRule type="containsText" dxfId="38" priority="13" stopIfTrue="1" operator="containsText" text="Not Functioning">
      <formula>NOT(ISERROR(SEARCH("Not Functioning",J37)))</formula>
    </cfRule>
    <cfRule type="containsText" dxfId="37" priority="14" operator="containsText" text="Functioning">
      <formula>NOT(ISERROR(SEARCH("Functioning",J37)))</formula>
    </cfRule>
  </conditionalFormatting>
  <conditionalFormatting sqref="H37">
    <cfRule type="cellIs" dxfId="36" priority="9" operator="between">
      <formula>0.7</formula>
      <formula>1</formula>
    </cfRule>
    <cfRule type="cellIs" dxfId="35" priority="10" operator="between">
      <formula>0.6999999</formula>
      <formula>0.3</formula>
    </cfRule>
    <cfRule type="cellIs" dxfId="34" priority="11" operator="between">
      <formula>0</formula>
      <formula>0.299999</formula>
    </cfRule>
  </conditionalFormatting>
  <conditionalFormatting sqref="H37">
    <cfRule type="expression" dxfId="33" priority="8">
      <formula>$C$29:$D$40="&gt;1"</formula>
    </cfRule>
  </conditionalFormatting>
  <conditionalFormatting sqref="I37">
    <cfRule type="cellIs" dxfId="32" priority="4" operator="between">
      <formula>0.7</formula>
      <formula>1</formula>
    </cfRule>
    <cfRule type="cellIs" dxfId="31" priority="5" operator="between">
      <formula>0.6999999</formula>
      <formula>0.3</formula>
    </cfRule>
    <cfRule type="cellIs" dxfId="30" priority="6" operator="between">
      <formula>0</formula>
      <formula>0.299999</formula>
    </cfRule>
  </conditionalFormatting>
  <conditionalFormatting sqref="I37">
    <cfRule type="containsText" dxfId="29" priority="2" stopIfTrue="1" operator="containsText" text="Not Functioning">
      <formula>NOT(ISERROR(SEARCH("Not Functioning",I37)))</formula>
    </cfRule>
    <cfRule type="containsText" dxfId="28" priority="3" operator="containsText" text="Functioning">
      <formula>NOT(ISERROR(SEARCH("Functioning",I37)))</formula>
    </cfRule>
  </conditionalFormatting>
  <conditionalFormatting sqref="I37">
    <cfRule type="expression" dxfId="27" priority="1">
      <formula>$C$29:$D$40="&gt;1"</formula>
    </cfRule>
  </conditionalFormatting>
  <dataValidations xWindow="656" yWindow="505" count="14">
    <dataValidation allowBlank="1" showErrorMessage="1" sqref="E55 E83"/>
    <dataValidation type="list" allowBlank="1" showErrorMessage="1" sqref="B14">
      <formula1>BedMaterial</formula1>
    </dataValidation>
    <dataValidation type="list" allowBlank="1" showErrorMessage="1" sqref="B11">
      <formula1>Region</formula1>
    </dataValidation>
    <dataValidation allowBlank="1" showErrorMessage="1" prompt="Leave field value blank if not a coldwater stream." sqref="F69 F99"/>
    <dataValidation allowBlank="1" showErrorMessage="1" prompt="This measurement method should be used in combination with either Erosion Rate or Dominant BEHI/NBS." sqref="E53:E54 E81:E82"/>
    <dataValidation type="decimal" allowBlank="1" showInputMessage="1" showErrorMessage="1" sqref="E60:E61 E88:E89">
      <formula1>0</formula1>
      <formula2>5280</formula2>
    </dataValidation>
    <dataValidation allowBlank="1" showErrorMessage="1" prompt="Select catchment conditon level from the completed catchment assessment form. " sqref="E45 E47 E73 E75"/>
    <dataValidation type="decimal" allowBlank="1" showErrorMessage="1" prompt="The user should input a value for either basal area or density, not both. " sqref="E62:E63 E90:E91">
      <formula1>0</formula1>
      <formula2>5280</formula2>
    </dataValidation>
    <dataValidation allowBlank="1" showInputMessage="1" showErrorMessage="1" prompt="Value from Catchment Assessment" sqref="B7"/>
    <dataValidation allowBlank="1" showInputMessage="1" showErrorMessage="1" prompt="Type entry into gray cells._x000a_" sqref="B5:B6"/>
    <dataValidation allowBlank="1" showInputMessage="1" showErrorMessage="1" prompt="Value from Project Assessment" sqref="B9"/>
    <dataValidation allowBlank="1" showInputMessage="1" showErrorMessage="1" prompt="Type entry into gray cells" sqref="B13 B15:B16"/>
    <dataValidation type="list" allowBlank="1" showInputMessage="1" showErrorMessage="1" prompt="Select from pull-down menu for highlighted cells. Do not type." sqref="B8">
      <formula1>StreamType</formula1>
    </dataValidation>
    <dataValidation allowBlank="1" sqref="D19:E19"/>
  </dataValidations>
  <pageMargins left="0.25" right="0.25" top="0.75" bottom="0.75" header="0.3" footer="0.3"/>
  <pageSetup scale="63" fitToHeight="0" orientation="landscape" r:id="rId1"/>
  <rowBreaks count="2" manualBreakCount="2">
    <brk id="41" max="16383" man="1"/>
    <brk id="69" max="16383" man="1"/>
  </rowBreaks>
  <extLst>
    <ext xmlns:x14="http://schemas.microsoft.com/office/spreadsheetml/2009/9/main" uri="{78C0D931-6437-407d-A8EE-F0AAD7539E65}">
      <x14:conditionalFormattings>
        <x14:conditionalFormatting xmlns:xm="http://schemas.microsoft.com/office/excel/2006/main">
          <x14:cfRule type="containsText" priority="127" stopIfTrue="1" operator="containsText" text="Functioning At Risk" id="{0ECA20A0-4989-4885-BB38-82282DB98CC2}">
            <xm:f>NOT(ISERROR(SEARCH("Functioning At Risk",'Monitoring Data'!I70)))</xm:f>
            <x14:dxf>
              <fill>
                <patternFill>
                  <bgColor rgb="FFFFFF00"/>
                </patternFill>
              </fill>
            </x14:dxf>
          </x14:cfRule>
          <xm:sqref>I78</xm:sqref>
        </x14:conditionalFormatting>
        <x14:conditionalFormatting xmlns:xm="http://schemas.microsoft.com/office/excel/2006/main">
          <x14:cfRule type="containsText" priority="135" stopIfTrue="1" operator="containsText" text="Functioning At Risk" id="{0ECA20A0-4989-4885-BB38-82282DB98CC2}">
            <xm:f>NOT(ISERROR(SEARCH("Functioning At Risk",'Monitoring Data'!#REF!)))</xm:f>
            <x14:dxf>
              <fill>
                <patternFill>
                  <bgColor rgb="FFFFFF00"/>
                </patternFill>
              </fill>
            </x14:dxf>
          </x14:cfRule>
          <xm:sqref>J33 J35 J27 J29</xm:sqref>
        </x14:conditionalFormatting>
        <x14:conditionalFormatting xmlns:xm="http://schemas.microsoft.com/office/excel/2006/main">
          <x14:cfRule type="containsText" priority="138" stopIfTrue="1" operator="containsText" text="Functioning At Risk" id="{0ECA20A0-4989-4885-BB38-82282DB98CC2}">
            <xm:f>NOT(ISERROR(SEARCH("Functioning At Risk",'Monitoring Data'!#REF!)))</xm:f>
            <x14:dxf>
              <fill>
                <patternFill>
                  <bgColor rgb="FFFFFF00"/>
                </patternFill>
              </fill>
            </x14:dxf>
          </x14:cfRule>
          <xm:sqref>I66:I68 I35 J3:J19</xm:sqref>
        </x14:conditionalFormatting>
        <x14:conditionalFormatting xmlns:xm="http://schemas.microsoft.com/office/excel/2006/main">
          <x14:cfRule type="containsText" priority="180" stopIfTrue="1" operator="containsText" text="Functioning At Risk" id="{0ECA20A0-4989-4885-BB38-82282DB98CC2}">
            <xm:f>NOT(ISERROR(SEARCH("Functioning At Risk",'Monitoring Data'!I32)))</xm:f>
            <x14:dxf>
              <fill>
                <patternFill>
                  <bgColor rgb="FFFFFF00"/>
                </patternFill>
              </fill>
            </x14:dxf>
          </x14:cfRule>
          <xm:sqref>I44</xm:sqref>
        </x14:conditionalFormatting>
        <x14:conditionalFormatting xmlns:xm="http://schemas.microsoft.com/office/excel/2006/main">
          <x14:cfRule type="containsText" priority="258" stopIfTrue="1" operator="containsText" text="Functioning At Risk" id="{0ECA20A0-4989-4885-BB38-82282DB98CC2}">
            <xm:f>NOT(ISERROR(SEARCH("Functioning At Risk",'Monitoring Data'!#REF!)))</xm:f>
            <x14:dxf>
              <fill>
                <patternFill>
                  <bgColor rgb="FFFFFF00"/>
                </patternFill>
              </fill>
            </x14:dxf>
          </x14:cfRule>
          <xm:sqref>I4</xm:sqref>
        </x14:conditionalFormatting>
        <x14:conditionalFormatting xmlns:xm="http://schemas.microsoft.com/office/excel/2006/main">
          <x14:cfRule type="containsText" priority="261" stopIfTrue="1" operator="containsText" text="Functioning At Risk" id="{0ECA20A0-4989-4885-BB38-82282DB98CC2}">
            <xm:f>NOT(ISERROR(SEARCH("Functioning At Risk",'Monitoring Data'!#REF!)))</xm:f>
            <x14:dxf>
              <fill>
                <patternFill>
                  <bgColor rgb="FFFFFF00"/>
                </patternFill>
              </fill>
            </x14:dxf>
          </x14:cfRule>
          <xm:sqref>I6</xm:sqref>
        </x14:conditionalFormatting>
        <x14:conditionalFormatting xmlns:xm="http://schemas.microsoft.com/office/excel/2006/main">
          <x14:cfRule type="containsText" priority="264" stopIfTrue="1" operator="containsText" text="Functioning At Risk" id="{0ECA20A0-4989-4885-BB38-82282DB98CC2}">
            <xm:f>NOT(ISERROR(SEARCH("Functioning At Risk",'Monitoring Data'!#REF!)))</xm:f>
            <x14:dxf>
              <fill>
                <patternFill>
                  <bgColor rgb="FFFFFF00"/>
                </patternFill>
              </fill>
            </x14:dxf>
          </x14:cfRule>
          <xm:sqref>I33 I64:I65</xm:sqref>
        </x14:conditionalFormatting>
        <x14:conditionalFormatting xmlns:xm="http://schemas.microsoft.com/office/excel/2006/main">
          <x14:cfRule type="containsText" priority="35" stopIfTrue="1" operator="containsText" text="Functioning At Risk" id="{9CB5CFA1-2CD3-43AB-9453-76CD509591C8}">
            <xm:f>NOT(ISERROR(SEARCH("Functioning At Risk",'Monitoring Data'!#REF!)))</xm:f>
            <x14:dxf>
              <fill>
                <patternFill>
                  <bgColor rgb="FFFFFF00"/>
                </patternFill>
              </fill>
            </x14:dxf>
          </x14:cfRule>
          <xm:sqref>I92:I93</xm:sqref>
        </x14:conditionalFormatting>
        <x14:conditionalFormatting xmlns:xm="http://schemas.microsoft.com/office/excel/2006/main">
          <x14:cfRule type="containsText" priority="36" stopIfTrue="1" operator="containsText" text="Functioning At Risk" id="{D3FA476A-0BC5-408B-8588-8BF61510151A}">
            <xm:f>NOT(ISERROR(SEARCH("Functioning At Risk",'Monitoring Data'!#REF!)))</xm:f>
            <x14:dxf>
              <fill>
                <patternFill>
                  <bgColor rgb="FFFFFF00"/>
                </patternFill>
              </fill>
            </x14:dxf>
          </x14:cfRule>
          <xm:sqref>I94</xm:sqref>
        </x14:conditionalFormatting>
        <x14:conditionalFormatting xmlns:xm="http://schemas.microsoft.com/office/excel/2006/main">
          <x14:cfRule type="containsText" priority="376" stopIfTrue="1" operator="containsText" text="Functioning At Risk" id="{0ECA20A0-4989-4885-BB38-82282DB98CC2}">
            <xm:f>NOT(ISERROR(SEARCH("Functioning At Risk",'Monitoring Data'!I39)))</xm:f>
            <x14:dxf>
              <fill>
                <patternFill>
                  <bgColor rgb="FFFFFF00"/>
                </patternFill>
              </fill>
            </x14:dxf>
          </x14:cfRule>
          <xm:sqref>I50</xm:sqref>
        </x14:conditionalFormatting>
        <x14:conditionalFormatting xmlns:xm="http://schemas.microsoft.com/office/excel/2006/main">
          <x14:cfRule type="containsText" priority="30" stopIfTrue="1" operator="containsText" text="Functioning At Risk" id="{07608F8F-DA18-4A66-81D5-85D672B476EF}">
            <xm:f>NOT(ISERROR(SEARCH("Functioning At Risk",'Monitoring Data'!#REF!)))</xm:f>
            <x14:dxf>
              <fill>
                <patternFill>
                  <bgColor rgb="FFFFFF00"/>
                </patternFill>
              </fill>
            </x14:dxf>
          </x14:cfRule>
          <xm:sqref>J31</xm:sqref>
        </x14:conditionalFormatting>
        <x14:conditionalFormatting xmlns:xm="http://schemas.microsoft.com/office/excel/2006/main">
          <x14:cfRule type="containsText" priority="573" stopIfTrue="1" operator="containsText" text="Functioning At Risk" id="{0ECA20A0-4989-4885-BB38-82282DB98CC2}">
            <xm:f>NOT(ISERROR(SEARCH("Functioning At Risk",'Monitoring Data'!#REF!)))</xm:f>
            <x14:dxf>
              <fill>
                <patternFill>
                  <bgColor rgb="FFFFFF00"/>
                </patternFill>
              </fill>
            </x14:dxf>
          </x14:cfRule>
          <xm:sqref>I19</xm:sqref>
        </x14:conditionalFormatting>
        <x14:conditionalFormatting xmlns:xm="http://schemas.microsoft.com/office/excel/2006/main">
          <x14:cfRule type="containsText" priority="577" stopIfTrue="1" operator="containsText" text="Functioning At Risk" id="{0ECA20A0-4989-4885-BB38-82282DB98CC2}">
            <xm:f>NOT(ISERROR(SEARCH("Functioning At Risk",'Monitoring Data'!I13)))</xm:f>
            <x14:dxf>
              <fill>
                <patternFill>
                  <bgColor rgb="FFFFFF00"/>
                </patternFill>
              </fill>
            </x14:dxf>
          </x14:cfRule>
          <xm:sqref>I31 I16:I18</xm:sqref>
        </x14:conditionalFormatting>
        <x14:conditionalFormatting xmlns:xm="http://schemas.microsoft.com/office/excel/2006/main">
          <x14:cfRule type="containsText" priority="579" stopIfTrue="1" operator="containsText" text="Functioning At Risk" id="{0ECA20A0-4989-4885-BB38-82282DB98CC2}">
            <xm:f>NOT(ISERROR(SEARCH("Functioning At Risk",'Monitoring Data'!#REF!)))</xm:f>
            <x14:dxf>
              <fill>
                <patternFill>
                  <bgColor rgb="FFFFFF00"/>
                </patternFill>
              </fill>
            </x14:dxf>
          </x14:cfRule>
          <xm:sqref>I13</xm:sqref>
        </x14:conditionalFormatting>
        <x14:conditionalFormatting xmlns:xm="http://schemas.microsoft.com/office/excel/2006/main">
          <x14:cfRule type="containsText" priority="584" stopIfTrue="1" operator="containsText" text="Functioning At Risk" id="{0ECA20A0-4989-4885-BB38-82282DB98CC2}">
            <xm:f>NOT(ISERROR(SEARCH("Functioning At Risk",'Monitoring Data'!#REF!)))</xm:f>
            <x14:dxf>
              <fill>
                <patternFill>
                  <bgColor rgb="FFFFFF00"/>
                </patternFill>
              </fill>
            </x14:dxf>
          </x14:cfRule>
          <xm:sqref>I12</xm:sqref>
        </x14:conditionalFormatting>
        <x14:conditionalFormatting xmlns:xm="http://schemas.microsoft.com/office/excel/2006/main">
          <x14:cfRule type="containsText" priority="596" stopIfTrue="1" operator="containsText" text="Functioning At Risk" id="{0ECA20A0-4989-4885-BB38-82282DB98CC2}">
            <xm:f>NOT(ISERROR(SEARCH("Functioning At Risk",'Monitoring Data'!I3)))</xm:f>
            <x14:dxf>
              <fill>
                <patternFill>
                  <bgColor rgb="FFFFFF00"/>
                </patternFill>
              </fill>
            </x14:dxf>
          </x14:cfRule>
          <xm:sqref>I3</xm:sqref>
        </x14:conditionalFormatting>
        <x14:conditionalFormatting xmlns:xm="http://schemas.microsoft.com/office/excel/2006/main">
          <x14:cfRule type="containsText" priority="597" stopIfTrue="1" operator="containsText" text="Functioning At Risk" id="{0ECA20A0-4989-4885-BB38-82282DB98CC2}">
            <xm:f>NOT(ISERROR(SEARCH("Functioning At Risk",'Monitoring Data'!I5)))</xm:f>
            <x14:dxf>
              <fill>
                <patternFill>
                  <bgColor rgb="FFFFFF00"/>
                </patternFill>
              </fill>
            </x14:dxf>
          </x14:cfRule>
          <xm:sqref>I7:I9 I11</xm:sqref>
        </x14:conditionalFormatting>
        <x14:conditionalFormatting xmlns:xm="http://schemas.microsoft.com/office/excel/2006/main">
          <x14:cfRule type="containsText" priority="599" stopIfTrue="1" operator="containsText" text="Functioning At Risk" id="{0ECA20A0-4989-4885-BB38-82282DB98CC2}">
            <xm:f>NOT(ISERROR(SEARCH("Functioning At Risk",'Monitoring Data'!I4)))</xm:f>
            <x14:dxf>
              <fill>
                <patternFill>
                  <bgColor rgb="FFFFFF00"/>
                </patternFill>
              </fill>
            </x14:dxf>
          </x14:cfRule>
          <xm:sqref>I5 I27</xm:sqref>
        </x14:conditionalFormatting>
        <x14:conditionalFormatting xmlns:xm="http://schemas.microsoft.com/office/excel/2006/main">
          <x14:cfRule type="containsText" priority="600" stopIfTrue="1" operator="containsText" text="Functioning At Risk" id="{0ECA20A0-4989-4885-BB38-82282DB98CC2}">
            <xm:f>NOT(ISERROR(SEARCH("Functioning At Risk",'Monitoring Data'!#REF!)))</xm:f>
            <x14:dxf>
              <fill>
                <patternFill>
                  <bgColor rgb="FFFFFF00"/>
                </patternFill>
              </fill>
            </x14:dxf>
          </x14:cfRule>
          <xm:sqref>I29</xm:sqref>
        </x14:conditionalFormatting>
        <x14:conditionalFormatting xmlns:xm="http://schemas.microsoft.com/office/excel/2006/main">
          <x14:cfRule type="containsText" priority="601" stopIfTrue="1" operator="containsText" text="Functioning At Risk" id="{0ECA20A0-4989-4885-BB38-82282DB98CC2}">
            <xm:f>NOT(ISERROR(SEARCH("Functioning At Risk",'Monitoring Data'!I10)))</xm:f>
            <x14:dxf>
              <fill>
                <patternFill>
                  <bgColor rgb="FFFFFF00"/>
                </patternFill>
              </fill>
            </x14:dxf>
          </x14:cfRule>
          <xm:sqref>I14:I15</xm:sqref>
        </x14:conditionalFormatting>
        <x14:conditionalFormatting xmlns:xm="http://schemas.microsoft.com/office/excel/2006/main">
          <x14:cfRule type="containsText" priority="18" stopIfTrue="1" operator="containsText" text="Functioning At Risk" id="{C367CBCB-E325-4386-87F6-216C7B986EC5}">
            <xm:f>NOT(ISERROR(SEARCH("Functioning At Risk",'Monitoring Data'!#REF!)))</xm:f>
            <x14:dxf>
              <fill>
                <patternFill>
                  <bgColor rgb="FFFFFF00"/>
                </patternFill>
              </fill>
            </x14:dxf>
          </x14:cfRule>
          <xm:sqref>J37</xm:sqref>
        </x14:conditionalFormatting>
        <x14:conditionalFormatting xmlns:xm="http://schemas.microsoft.com/office/excel/2006/main">
          <x14:cfRule type="containsText" priority="7" stopIfTrue="1" operator="containsText" text="Functioning At Risk" id="{E54A8E37-6892-45C3-9FC9-EC5BF94FFE68}">
            <xm:f>NOT(ISERROR(SEARCH("Functioning At Risk",'Monitoring Data'!#REF!)))</xm:f>
            <x14:dxf>
              <fill>
                <patternFill>
                  <bgColor rgb="FFFFFF00"/>
                </patternFill>
              </fill>
            </x14:dxf>
          </x14:cfRule>
          <xm:sqref>I37</xm:sqref>
        </x14:conditionalFormatting>
      </x14:conditionalFormattings>
    </ext>
    <ext xmlns:x14="http://schemas.microsoft.com/office/spreadsheetml/2009/9/main" uri="{CCE6A557-97BC-4b89-ADB6-D9C93CAAB3DF}">
      <x14:dataValidations xmlns:xm="http://schemas.microsoft.com/office/excel/2006/main" xWindow="656" yWindow="505" count="6">
        <x14:dataValidation type="list" allowBlank="1" showErrorMessage="1" prompt="Select the dominant BEHI/NBS.  _x000a_If erosion rate was measured select blank. The user should only input a value for either BEHI/NBS or Erosion Rate, not both. ">
          <x14:formula1>
            <xm:f>'Pull Down Notes'!$B$22:$B$59</xm:f>
          </x14:formula1>
          <xm:sqref>E52 E80</xm:sqref>
        </x14:dataValidation>
        <x14:dataValidation type="list" allowBlank="1" showInputMessage="1" showErrorMessage="1">
          <x14:formula1>
            <xm:f>'Pull Down Notes'!$B$92:$B$95</xm:f>
          </x14:formula1>
          <xm:sqref>B19</xm:sqref>
        </x14:dataValidation>
        <x14:dataValidation type="list" allowBlank="1" showInputMessage="1" showErrorMessage="1">
          <x14:formula1>
            <xm:f>'Pull Down Notes'!$B$98:$B$107</xm:f>
          </x14:formula1>
          <xm:sqref>B17</xm:sqref>
        </x14:dataValidation>
        <x14:dataValidation type="list" allowBlank="1" showInputMessage="1" showErrorMessage="1">
          <x14:formula1>
            <xm:f>'Pull Down Notes'!$B$109:$B$118</xm:f>
          </x14:formula1>
          <xm:sqref>B18</xm:sqref>
        </x14:dataValidation>
        <x14:dataValidation type="list" allowBlank="1" showErrorMessage="1">
          <x14:formula1>
            <xm:f>'Pull Down Notes'!$B$72:$B$75</xm:f>
          </x14:formula1>
          <xm:sqref>B12</xm:sqref>
        </x14:dataValidation>
        <x14:dataValidation type="list" allowBlank="1" showInputMessage="1" showErrorMessage="1">
          <x14:formula1>
            <xm:f>'Pull Down Notes'!$B$77:$B$79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305"/>
  <sheetViews>
    <sheetView zoomScale="70" zoomScaleNormal="70" workbookViewId="0">
      <selection sqref="A1:F1"/>
    </sheetView>
  </sheetViews>
  <sheetFormatPr defaultColWidth="8.88671875" defaultRowHeight="14.4" x14ac:dyDescent="0.3"/>
  <cols>
    <col min="1" max="2" width="28.88671875" customWidth="1"/>
    <col min="3" max="3" width="22.109375" customWidth="1"/>
    <col min="4" max="4" width="20.5546875" customWidth="1"/>
    <col min="5" max="6" width="13" customWidth="1"/>
    <col min="7" max="9" width="15.6640625" customWidth="1"/>
    <col min="10" max="10" width="18.5546875" customWidth="1"/>
    <col min="11" max="11" width="13.6640625" customWidth="1"/>
  </cols>
  <sheetData>
    <row r="1" spans="1:13" ht="21" x14ac:dyDescent="0.4">
      <c r="A1" s="589" t="s">
        <v>116</v>
      </c>
      <c r="B1" s="590"/>
      <c r="C1" s="590"/>
      <c r="D1" s="590"/>
      <c r="E1" s="590"/>
      <c r="F1" s="591"/>
      <c r="G1" s="589" t="s">
        <v>14</v>
      </c>
      <c r="H1" s="590"/>
      <c r="I1" s="591"/>
    </row>
    <row r="2" spans="1:13" ht="15.6" x14ac:dyDescent="0.3">
      <c r="A2" s="34" t="s">
        <v>1</v>
      </c>
      <c r="B2" s="34" t="s">
        <v>2</v>
      </c>
      <c r="C2" s="154" t="s">
        <v>3</v>
      </c>
      <c r="D2" s="155"/>
      <c r="E2" s="34" t="s">
        <v>12</v>
      </c>
      <c r="F2" s="34" t="s">
        <v>13</v>
      </c>
      <c r="G2" s="34" t="s">
        <v>15</v>
      </c>
      <c r="H2" s="34" t="s">
        <v>16</v>
      </c>
      <c r="I2" s="34" t="s">
        <v>16</v>
      </c>
    </row>
    <row r="3" spans="1:13" ht="15.6" x14ac:dyDescent="0.3">
      <c r="A3" s="559" t="s">
        <v>201</v>
      </c>
      <c r="B3" s="563" t="s">
        <v>113</v>
      </c>
      <c r="C3" s="194" t="s">
        <v>169</v>
      </c>
      <c r="D3" s="195"/>
      <c r="E3" s="72"/>
      <c r="F3" s="197" t="str">
        <f>IF(E3="","",IF(E3&gt;=80,0,IF(E3&lt;=40,1,IF(E3&gt;=68,ROUND(E3*'Reference Curves'!$C$14+'Reference Curves'!$C$15,2),ROUND(E3*'Reference Curves'!$D$14+'Reference Curves'!$D$15,2)))))</f>
        <v/>
      </c>
      <c r="G3" s="487" t="str">
        <f>IFERROR(AVERAGE(F3:F5),"")</f>
        <v/>
      </c>
      <c r="H3" s="487" t="str">
        <f>IFERROR(ROUND(AVERAGE(G3:G5),2),"")</f>
        <v/>
      </c>
      <c r="I3" s="475" t="str">
        <f>IF(H3="","",IF(H3:H5&gt;0.69,"Functioning",IF(H3&gt;0.29,"Functioning At Risk",IF(H3&gt;-1,"Not Functioning"))))</f>
        <v/>
      </c>
      <c r="L3" s="2"/>
    </row>
    <row r="4" spans="1:13" ht="15.6" x14ac:dyDescent="0.3">
      <c r="A4" s="560"/>
      <c r="B4" s="564"/>
      <c r="C4" s="262" t="s">
        <v>271</v>
      </c>
      <c r="D4" s="196"/>
      <c r="E4" s="199"/>
      <c r="F4" s="265" t="str">
        <f>IF(E4="","",  IF(E4&gt;0.95,0,IF(E4&lt;=0.02,1,ROUND(IF(E4&gt;0.26, 'Reference Curves'!$C$45*E4+'Reference Curves'!$C$46, IF(E4&lt;0.05, 'Reference Curves'!$E$45*E4+'Reference Curves'!$E$46, 'Reference Curves'!$D$45*E4+'Reference Curves'!$D$46)),2))) )</f>
        <v/>
      </c>
      <c r="G4" s="488"/>
      <c r="H4" s="488"/>
      <c r="I4" s="476"/>
      <c r="L4" s="2"/>
    </row>
    <row r="5" spans="1:13" ht="14.4" customHeight="1" x14ac:dyDescent="0.3">
      <c r="A5" s="560"/>
      <c r="B5" s="565"/>
      <c r="C5" s="340" t="s">
        <v>302</v>
      </c>
      <c r="D5" s="341"/>
      <c r="E5" s="70"/>
      <c r="F5" s="312" t="str">
        <f>IF(E5="","",   IF(E5&gt;3.22,0, IF(E5&lt;0, "", ROUND('Reference Curves'!$C$74*E5+'Reference Curves'!$C$75,2))))</f>
        <v/>
      </c>
      <c r="G5" s="489"/>
      <c r="H5" s="488"/>
      <c r="I5" s="477"/>
      <c r="L5" s="2"/>
      <c r="M5" s="2"/>
    </row>
    <row r="6" spans="1:13" ht="15.6" x14ac:dyDescent="0.3">
      <c r="A6" s="561" t="s">
        <v>200</v>
      </c>
      <c r="B6" s="557" t="s">
        <v>5</v>
      </c>
      <c r="C6" s="74" t="s">
        <v>6</v>
      </c>
      <c r="D6" s="74"/>
      <c r="E6" s="72"/>
      <c r="F6" s="272" t="str">
        <f>IF(E6="","",ROUND(IF(E6&gt;1.71,0,IF(E6&lt;=1,1,E6*'Reference Curves'!K$13+'Reference Curves'!K$14)),2))</f>
        <v/>
      </c>
      <c r="G6" s="492" t="str">
        <f>IFERROR(AVERAGE(F6:F7),"")</f>
        <v/>
      </c>
      <c r="H6" s="492" t="str">
        <f>IFERROR(ROUND(AVERAGE(G6),2),"")</f>
        <v/>
      </c>
      <c r="I6" s="476" t="str">
        <f>IF(H6="","",IF(H6&gt;0.69,"Functioning",IF(H6&gt;0.29,"Functioning At Risk",IF(H6&gt;-1,"Not Functioning"))))</f>
        <v/>
      </c>
      <c r="L6" s="2"/>
      <c r="M6" s="2"/>
    </row>
    <row r="7" spans="1:13" ht="15.6" x14ac:dyDescent="0.3">
      <c r="A7" s="562"/>
      <c r="B7" s="558"/>
      <c r="C7" s="75" t="s">
        <v>7</v>
      </c>
      <c r="D7" s="75"/>
      <c r="E7" s="73"/>
      <c r="F7" s="76" t="str">
        <f>IF(E7="","",IF(OR('Quantification Tool'!$B$9="A",'Quantification Tool'!$B$9="Ba",'Quantification Tool'!$B$9="B", 'Quantification Tool'!$B$9="Bc"),IF(E7&lt;1.2,0,IF(E7&gt;=2.2,1,ROUND(IF(E7&lt;1.4,E7*'Reference Curves'!$K$82+'Reference Curves'!$K$83,E7*'Reference Curves'!$L$82+'Reference Curves'!$L$83),2))),IF(OR('Quantification Tool'!$B$9="C",'Quantification Tool'!$B$9="Cb",'Quantification Tool'!$B$9="E"),IF(E7&lt;2,0,IF(E7&gt;=5,1,ROUND(IF(E7&lt;2.4,E7*'Reference Curves'!$L$47+'Reference Curves'!$L$48,E7*'Reference Curves'!$K$47+'Reference Curves'!$K$48),2))))))</f>
        <v/>
      </c>
      <c r="G7" s="493"/>
      <c r="H7" s="493"/>
      <c r="I7" s="477"/>
      <c r="L7" s="2"/>
      <c r="M7" s="2"/>
    </row>
    <row r="8" spans="1:13" ht="15.6" x14ac:dyDescent="0.3">
      <c r="A8" s="507" t="s">
        <v>20</v>
      </c>
      <c r="B8" s="507" t="s">
        <v>21</v>
      </c>
      <c r="C8" s="18" t="s">
        <v>19</v>
      </c>
      <c r="D8" s="77"/>
      <c r="E8" s="72"/>
      <c r="F8" s="78" t="str">
        <f>IF(E8="","",IF(E8&gt;=660,1,IF(E8&lt;=430,ROUND('Reference Curves'!$S$14*E8+'Reference Curves'!$S$15,2),ROUND('Reference Curves'!$T$14*E8+'Reference Curves'!$T$15,2))))</f>
        <v/>
      </c>
      <c r="G8" s="509" t="str">
        <f>IFERROR(AVERAGE(F8:F9),"")</f>
        <v/>
      </c>
      <c r="H8" s="509" t="str">
        <f>IFERROR(ROUND(AVERAGE(G8:G21),2),"")</f>
        <v/>
      </c>
      <c r="I8" s="516" t="str">
        <f>IF(H8="","",IF(H8&gt;0.69,"Functioning",IF(H8&gt;0.29,"Functioning At Risk",IF(H8&gt;-1,"Not Functioning"))))</f>
        <v/>
      </c>
      <c r="L8" s="2"/>
      <c r="M8" s="2"/>
    </row>
    <row r="9" spans="1:13" ht="15.6" x14ac:dyDescent="0.3">
      <c r="A9" s="511"/>
      <c r="B9" s="508"/>
      <c r="C9" s="17" t="s">
        <v>353</v>
      </c>
      <c r="D9" s="79"/>
      <c r="E9" s="73"/>
      <c r="F9" s="210" t="str">
        <f>IF(E9="","",IF(E9&gt;=28,1,ROUND(IF(E9&lt;=13,'Reference Curves'!$S$47*E9,'Reference Curves'!$T$47*E9+'Reference Curves'!$T$48),2)))</f>
        <v/>
      </c>
      <c r="G9" s="510"/>
      <c r="H9" s="515"/>
      <c r="I9" s="517"/>
      <c r="L9" s="2"/>
      <c r="M9" s="2"/>
    </row>
    <row r="10" spans="1:13" ht="15.6" x14ac:dyDescent="0.3">
      <c r="A10" s="511"/>
      <c r="B10" s="511" t="s">
        <v>196</v>
      </c>
      <c r="C10" s="80" t="s">
        <v>43</v>
      </c>
      <c r="D10" s="80"/>
      <c r="E10" s="199"/>
      <c r="F10" s="160" t="str">
        <f>IF(E10="","",IF(OR(E10="Ex/Ex",E10="Ex/VH",E10="Ex/H",E10="Ex/M",E10="VH/Ex",E10="VH/VH", E10="H/Ex",E10="H/VH"),0, IF(OR(E10="M/Ex"),0.1,IF(OR(E10="VH/H",E10="VH/M",E10="H/H",E10="H/M", E10="M/VH"),0.2, IF(OR(E10="Ex/VL",E10="Ex/L", E10="M/H"),0.3, IF(OR(E10="VH/L",E10="H/L"),0.4, IF(OR(E10="VH/VL",E10="H/VL",E10="M/M"),0.5, IF(OR(E10="M/L",E10="L/Ex"),0.6, IF(OR(E10="M/VL",E10="L/VH", E10="L/H",E10="L/M",E10="L/L",E10="L/VL",LEFT(E10)="V"),1)))))))))</f>
        <v/>
      </c>
      <c r="G10" s="515" t="str">
        <f>IFERROR(AVERAGE(F10:F12),"")</f>
        <v/>
      </c>
      <c r="H10" s="515"/>
      <c r="I10" s="517"/>
      <c r="L10" s="2"/>
      <c r="M10" s="2"/>
    </row>
    <row r="11" spans="1:13" ht="15.6" x14ac:dyDescent="0.3">
      <c r="A11" s="511"/>
      <c r="B11" s="511"/>
      <c r="C11" s="173" t="s">
        <v>79</v>
      </c>
      <c r="D11" s="173"/>
      <c r="E11" s="199"/>
      <c r="F11" s="160" t="str">
        <f>IF(E11="","",ROUND(IF(E11&gt;=75,0,IF(E11&lt;=5,1,IF(E11&gt;10,E11*'Reference Curves'!S$81+'Reference Curves'!S$82,'Reference Curves'!$T$81*E11+'Reference Curves'!$T$82))),2))</f>
        <v/>
      </c>
      <c r="G11" s="515"/>
      <c r="H11" s="515"/>
      <c r="I11" s="517"/>
      <c r="L11" s="2"/>
      <c r="M11" s="2"/>
    </row>
    <row r="12" spans="1:13" ht="15.6" x14ac:dyDescent="0.3">
      <c r="A12" s="511"/>
      <c r="B12" s="508"/>
      <c r="C12" s="176" t="s">
        <v>195</v>
      </c>
      <c r="D12" s="144"/>
      <c r="E12" s="73"/>
      <c r="F12" s="181" t="str">
        <f>IF(E12="","",IF(E12&gt;=50,0,ROUND(E12*'Reference Curves'!$S$112+'Reference Curves'!$S$113,2)))</f>
        <v/>
      </c>
      <c r="G12" s="510"/>
      <c r="H12" s="515"/>
      <c r="I12" s="517"/>
      <c r="L12" s="2"/>
      <c r="M12" s="2"/>
    </row>
    <row r="13" spans="1:13" ht="15.6" x14ac:dyDescent="0.3">
      <c r="A13" s="511"/>
      <c r="B13" s="87" t="s">
        <v>97</v>
      </c>
      <c r="C13" s="17" t="s">
        <v>115</v>
      </c>
      <c r="D13" s="80"/>
      <c r="E13" s="73"/>
      <c r="F13" s="157" t="str">
        <f>IF(OR(E13="",'Quantification Tool'!$B$14=""),"",IF(OR('Quantification Tool'!$B$14="Silt/Clay",'Quantification Tool'!$B$14="Sand",'Quantification Tool'!$B$14="Boulders",'Quantification Tool'!$B$14="Bedrock"),"NA",IF(E13&gt;0.1,1,IF(E13&lt;=0.01,0,ROUND(E13*'Reference Curves'!$S$143+'Reference Curves'!$S$144,2)))))</f>
        <v/>
      </c>
      <c r="G13" s="82" t="str">
        <f>IFERROR(AVERAGE(F13),"")</f>
        <v/>
      </c>
      <c r="H13" s="515"/>
      <c r="I13" s="517"/>
      <c r="L13" s="2"/>
      <c r="M13" s="2"/>
    </row>
    <row r="14" spans="1:13" ht="15.6" x14ac:dyDescent="0.3">
      <c r="A14" s="511"/>
      <c r="B14" s="507" t="s">
        <v>45</v>
      </c>
      <c r="C14" s="77" t="s">
        <v>46</v>
      </c>
      <c r="D14" s="77"/>
      <c r="E14" s="83"/>
      <c r="F14" s="84" t="str">
        <f>IF(E14="","", IF(OR(LEFT('Quantification Tool'!$B$9)="C",'Quantification Tool'!$B$9="E"), IF(OR(E14&lt;=1,E14&gt;=9),0,IF(AND(E14&gt;=3.5,E14&lt;=6),1,IF(E14&lt;3.5, ROUND(E14*'Reference Curves'!$S$243+'Reference Curves'!$S$244,2), ROUND(E14*'Reference Curves'!$T$243+'Reference Curves'!$T$244,2)))),   IF(OR(('Quantification Tool'!$B$9)="A",('Quantification Tool'!$B$9)="B",('Quantification Tool'!$B$9)="Ba"), IF(E14&gt;=6.5,0, IF(E14&lt;=4, 1, ROUND(E14^2*'Reference Curves'!$S$177+E14*'Reference Curves'!$S$178+'Reference Curves'!$S$179,2))), IF('Quantification Tool'!$B$9="Bc",  IF(E14&gt;=8,0, IF(E14&lt;=5, 1, ROUND(E14^2*'Reference Curves'!$S$209+E14*'Reference Curves'!$S$210+'Reference Curves'!$S$211,2)))))))</f>
        <v/>
      </c>
      <c r="G14" s="512" t="str">
        <f>IFERROR(AVERAGE(F14:F17),"")</f>
        <v/>
      </c>
      <c r="H14" s="515"/>
      <c r="I14" s="517"/>
      <c r="L14" s="2"/>
      <c r="M14" s="2"/>
    </row>
    <row r="15" spans="1:13" ht="15.6" x14ac:dyDescent="0.3">
      <c r="A15" s="511"/>
      <c r="B15" s="511"/>
      <c r="C15" s="80" t="s">
        <v>47</v>
      </c>
      <c r="D15" s="80"/>
      <c r="E15" s="81"/>
      <c r="F15" s="85" t="str">
        <f>IF(E15="","", ROUND(  IF(E15&lt;=1.1,0, IF(E15&gt;=3,1, IF(E15&lt;2, E15^2*'Reference Curves'!$S$276+  E15*'Reference Curves'!$S$277 + 'Reference Curves'!$S$278,    E15*'Reference Curves'!$T$277 + 'Reference Curves'!$T$278))),2))</f>
        <v/>
      </c>
      <c r="G15" s="513"/>
      <c r="H15" s="515"/>
      <c r="I15" s="517"/>
      <c r="L15" s="2"/>
      <c r="M15" s="2"/>
    </row>
    <row r="16" spans="1:13" ht="15.6" x14ac:dyDescent="0.3">
      <c r="A16" s="511"/>
      <c r="B16" s="511"/>
      <c r="C16" s="15" t="s">
        <v>173</v>
      </c>
      <c r="D16" s="80"/>
      <c r="E16" s="81"/>
      <c r="F16" s="288" t="str">
        <f>IF(E16="","", IF(OR('Quantification Tool'!$B$9="A",LEFT('Quantification Tool'!$B$9,1)="B"), IF(OR(E16&lt;=20,E16&gt;=90),0,IF(AND(E16&gt;=50,E16&lt;=60),1,IF(E16&lt;50, ROUND(E16*'Reference Curves'!$S$310+'Reference Curves'!$S$311,2),ROUND( E16*'Reference Curves'!$T$310+'Reference Curves'!$T$311,2)))),   IF(OR(LEFT('Quantification Tool'!$B$9)="C",'Quantification Tool'!$B$9="E"), IF(OR(E16&lt;=20,E16&gt;=85),0, IF(AND(E16&lt;=65,E16&gt;=45), 1, IF(E16&lt;45, ROUND(E16*'Reference Curves'!$S$343+'Reference Curves'!$S$344,2),ROUN(E16*'Reference Curves'!$T$343+'Reference Curves'!$T$344,2))))   )  ))</f>
        <v/>
      </c>
      <c r="G16" s="513"/>
      <c r="H16" s="515"/>
      <c r="I16" s="517"/>
      <c r="L16" s="2"/>
      <c r="M16" s="2"/>
    </row>
    <row r="17" spans="1:13" ht="15.6" x14ac:dyDescent="0.3">
      <c r="A17" s="511"/>
      <c r="B17" s="508"/>
      <c r="C17" s="79" t="s">
        <v>136</v>
      </c>
      <c r="D17" s="79"/>
      <c r="E17" s="86"/>
      <c r="F17" s="362" t="str">
        <f>IF(E17="","",IF(E17&gt;=1.6,0,IF(E17&lt;=1,1,ROUND('Reference Curves'!$S$375*E17^3+'Reference Curves'!$S$376*E17^2+'Reference Curves'!$S$377*E17+'Reference Curves'!$S$378,2))))</f>
        <v/>
      </c>
      <c r="G17" s="514"/>
      <c r="H17" s="515"/>
      <c r="I17" s="517"/>
      <c r="L17" s="2"/>
      <c r="M17" s="2"/>
    </row>
    <row r="18" spans="1:13" ht="15.6" x14ac:dyDescent="0.3">
      <c r="A18" s="511"/>
      <c r="B18" s="507" t="s">
        <v>44</v>
      </c>
      <c r="C18" s="16" t="s">
        <v>295</v>
      </c>
      <c r="D18" s="179"/>
      <c r="E18" s="180"/>
      <c r="F18" s="172" t="str">
        <f>IF(E18="","",IF('Quantification Tool'!$B$19="Unconfined Alluvial",IF(E18&gt;=100,1,IF(E18&lt;30,0,ROUND('Reference Curves'!$S$411*E18+'Reference Curves'!$S$412,2))),IF(OR('Quantification Tool'!$B$19="Confined Alluvial",'Quantification Tool'!$B$19="Colluvial/V-Shaped"),(IF(E18&gt;=100,1,IF(E18&lt;60,0,ROUND('Reference Curves'!$T$411*E18+'Reference Curves'!$T$412,2)))))))</f>
        <v/>
      </c>
      <c r="G18" s="512" t="str">
        <f>IFERROR(AVERAGE(F18:F21),"")</f>
        <v/>
      </c>
      <c r="H18" s="515"/>
      <c r="I18" s="517"/>
      <c r="L18" s="2"/>
      <c r="M18" s="2"/>
    </row>
    <row r="19" spans="1:13" ht="15.6" x14ac:dyDescent="0.3">
      <c r="A19" s="511"/>
      <c r="B19" s="511"/>
      <c r="C19" s="145" t="s">
        <v>297</v>
      </c>
      <c r="D19" s="169"/>
      <c r="E19" s="177"/>
      <c r="F19" s="85" t="str">
        <f>IF(E19="","",IF('Quantification Tool'!$B$10="Yes",IF(E19&lt;=50,0,IF(E19&gt;=80,1,ROUND('Reference Curves'!$S$445*E19+'Reference Curves'!$S$446,2))),IF('Quantification Tool'!$B$10="No",IF(E19&gt;=80,0,IF(E19&lt;=50,1,ROUND(E19*'Reference Curves'!$T$445+'Reference Curves'!$T$446,2))))))</f>
        <v/>
      </c>
      <c r="G19" s="513"/>
      <c r="H19" s="515"/>
      <c r="I19" s="517"/>
      <c r="L19" s="2"/>
      <c r="M19" s="2"/>
    </row>
    <row r="20" spans="1:13" ht="15.6" x14ac:dyDescent="0.3">
      <c r="A20" s="511"/>
      <c r="B20" s="519"/>
      <c r="C20" s="145" t="s">
        <v>189</v>
      </c>
      <c r="D20" s="169"/>
      <c r="E20" s="177"/>
      <c r="F20" s="85" t="str">
        <f>IF(E20="","",IF(E20&lt;=50,0,IF(E20&gt;=80,1, ROUND(E20*'Reference Curves'!$S$477+'Reference Curves'!$S$478,2))))</f>
        <v/>
      </c>
      <c r="G20" s="513"/>
      <c r="H20" s="515"/>
      <c r="I20" s="517"/>
      <c r="L20" s="2"/>
      <c r="M20" s="2"/>
    </row>
    <row r="21" spans="1:13" ht="15.6" x14ac:dyDescent="0.3">
      <c r="A21" s="508"/>
      <c r="B21" s="508"/>
      <c r="C21" s="520" t="s">
        <v>377</v>
      </c>
      <c r="D21" s="521"/>
      <c r="E21" s="178"/>
      <c r="F21" s="85" t="str">
        <f>IF(E21="","",IF('Quantification Tool'!$B$10="Yes",IF(E21&lt;=9,0,IF(E21&gt;=14,1,ROUND('Reference Curves'!$S$509*E21+'Reference Curves'!$S$510,2))),"FALSE"))</f>
        <v/>
      </c>
      <c r="G21" s="514"/>
      <c r="H21" s="510"/>
      <c r="I21" s="518"/>
      <c r="L21" s="2"/>
      <c r="M21" s="2"/>
    </row>
    <row r="22" spans="1:13" ht="15.6" x14ac:dyDescent="0.3">
      <c r="A22" s="502" t="s">
        <v>51</v>
      </c>
      <c r="B22" s="313" t="s">
        <v>74</v>
      </c>
      <c r="C22" s="314" t="s">
        <v>272</v>
      </c>
      <c r="D22" s="315"/>
      <c r="E22" s="44"/>
      <c r="F22" s="319" t="str">
        <f>IF(E22="","",  IF(E22&gt;=25,0,IF(E22&lt;=10,1,ROUND(IF(E22&gt;18, 'Reference Curves'!$AA$14*E22+'Reference Curves'!$AA$15, IF(E22&lt;12, 'Reference Curves'!$AC$14*E22+'Reference Curves'!$AC$15, 'Reference Curves'!$AB$14*E22+'Reference Curves'!$AB$15)),2))) )</f>
        <v/>
      </c>
      <c r="G22" s="321" t="str">
        <f t="shared" ref="G22:G23" si="0">IFERROR(AVERAGE(F22),"")</f>
        <v/>
      </c>
      <c r="H22" s="568" t="str">
        <f>IFERROR(ROUND(AVERAGE(G22:G24),2),"")</f>
        <v/>
      </c>
      <c r="I22" s="482" t="str">
        <f>IF(H22="","",IF(H22&gt;0.69,"Functioning",IF(H22&gt;0.29,"Functioning At Risk",IF(H22&gt;-1,"Not Functioning"))))</f>
        <v/>
      </c>
      <c r="L22" s="2"/>
      <c r="M22" s="2"/>
    </row>
    <row r="23" spans="1:13" ht="15.6" x14ac:dyDescent="0.3">
      <c r="A23" s="503"/>
      <c r="B23" s="323" t="s">
        <v>280</v>
      </c>
      <c r="C23" s="314" t="s">
        <v>281</v>
      </c>
      <c r="D23" s="315"/>
      <c r="E23" s="199"/>
      <c r="F23" s="320" t="str">
        <f>IF(E23="","",IF('Quantification Tool'!$B$11="2A",IF(E23&lt;=5.3,0,IF(E23&gt;=8.79,1,ROUND(E23*'Reference Curves'!$AA$50+'Reference Curves'!$AA$51,2))),IF('Quantification Tool'!$B$11=7,IF(E23&lt;=0.8,0,IF(E23&gt;=1.25,1,ROUND(E23*'Reference Curves'!$AC$50+'Reference Curves'!$AC$51,2))),IF(OR('Quantification Tool'!$B$11="2B", 'Quantification Tool'!$B$11="2Bd",'Quantification Tool'!$B$11="2C"),IF(E23&lt;=3.8,0,(IF(E23&gt;=6.24,1,ROUND(E23*'Reference Curves'!$AB$50+'Reference Curves'!$AB$51,2))))))))</f>
        <v/>
      </c>
      <c r="G23" s="321" t="str">
        <f t="shared" si="0"/>
        <v/>
      </c>
      <c r="H23" s="569"/>
      <c r="I23" s="482"/>
      <c r="L23" s="2"/>
      <c r="M23" s="2"/>
    </row>
    <row r="24" spans="1:13" ht="15.6" x14ac:dyDescent="0.3">
      <c r="A24" s="504"/>
      <c r="B24" s="289" t="s">
        <v>293</v>
      </c>
      <c r="C24" s="317" t="s">
        <v>294</v>
      </c>
      <c r="D24" s="318"/>
      <c r="E24" s="44"/>
      <c r="F24" s="320" t="str">
        <f>IF(E24="","",IF('Quantification Tool'!B$11="2A",IF(E24&gt;=12.5,0,IF(E24&lt;=7.5,1,ROUND(E24*'Reference Curves'!$AA$86+'Reference Curves'!$AA$87,2))),IF(OR('Quantification Tool'!B$11="2B",'Quantification Tool'!B$11="2Bd",'Quantification Tool'!B$11="2C"),IF('Quantification Tool'!B$12="North",IF(E24&gt;=18.8,0,IF(E24&lt;=11.3,1,ROUND(E24*'Reference Curves'!$AB$86+'Reference Curves'!$AB$87,2))),IF('Quantification Tool'!B$12="Central",(IF(E24&gt;=37.5,0,IF(E24&lt;=22.5,1,ROUND(E24*'Reference Curves'!$AC$86+'Reference Curves'!$AC$87,2)))),IF(E24&gt;=81.2,0,(IF(E24&lt;=48.7,1,ROUND(E24*'Reference Curves'!$AD$86+'Reference Curves'!$AD$87,2)))))))))</f>
        <v/>
      </c>
      <c r="G24" s="321" t="str">
        <f>IFERROR(AVERAGE(F24),"")</f>
        <v/>
      </c>
      <c r="H24" s="570"/>
      <c r="I24" s="482"/>
      <c r="L24" s="2"/>
      <c r="M24" s="2"/>
    </row>
    <row r="25" spans="1:13" ht="15.6" x14ac:dyDescent="0.3">
      <c r="A25" s="505" t="s">
        <v>52</v>
      </c>
      <c r="B25" s="204" t="s">
        <v>129</v>
      </c>
      <c r="C25" s="203" t="s">
        <v>226</v>
      </c>
      <c r="D25" s="88"/>
      <c r="E25" s="72"/>
      <c r="F25" s="89" t="str">
        <f>IF(E25="","",IF('Quantification Tool'!$B$17="Northern Forest Rivers",IF(E25&lt;=38.2,0,IF(E25&gt;=77,1,ROUND(IF(E25&lt;49, 'Reference Curves'!$AJ$18*E25+'Reference Curves'!$AJ$19, IF(E25&lt;59.8, 'Reference Curves'!$AK$18*E25+'Reference Curves'!$AK$19, 'Reference Curves'!$AL$18*E25+'Reference Curves'!$AL$19)),2))),   IF('Quantification Tool'!$B$17="Northern Forest Streams Riffle-run",IF(E25&lt;40.4,0,IF(E25&gt;=82,1,ROUND(IF(E25&lt;53, 'Reference Curves'!$AM$18*E25+'Reference Curves'!$AM$19, IF(E25&lt;59.8, 'Reference Curves'!$AN$18*E25+'Reference Curves'!$AN$19, 'Reference Curves'!$AO$18*E25+'Reference Curves'!$AO$19) ),2))), IF('Quantification Tool'!$B$17="Northern Forest Streams Glide-pool",IF(E25&lt;=37,0,IF(E25&gt;=76,1,ROUND(IF(E25&lt;51, 'Reference Curves'!$AP$18*E25+'Reference Curves'!$AP$19, IF(E25&lt;65.6, 'Reference Curves'!$AQ$18*E25+'Reference Curves'!$AQ$19, 'Reference Curves'!$AR$18*E25+'Reference Curves'!$AR$19) ),2))), IF('Quantification Tool'!$B$17="Northern Coldwater",IF(E25&lt;19.6,0,IF(E25&gt;=52,1,ROUND(IF(E25&lt;32, 'Reference Curves'!$AS$18*E25+'Reference Curves'!$AS$19, IF(E25&lt;44.4, 'Reference Curves'!$AT$18*E25+'Reference Curves'!$AT$19, 'Reference Curves'!$AU$18*E25+'Reference Curves'!$AU$19) ),2))), IF('Quantification Tool'!$B$17="Southern Forest Streams Riffle-run", IF(E25&lt;24,0,IF(E25&gt;=62,1,ROUND(IF(E25&lt;37, 'Reference Curves'!$AJ$65*E25+'Reference Curves'!$AJ$66, IF(E25&lt;49.6, 'Reference Curves'!$AK$65*E25+'Reference Curves'!$AK$66, 'Reference Curves'!$AL$65*E25+'Reference Curves'!$AL$66)),2))), IF('Quantification Tool'!$B$17="Southern Forest Streams Glide-pool", IF(E25&lt;29.4,0,IF(E25&gt;=65,1,ROUND(IF(E25&lt;43, 'Reference Curves'!$AM$65*E25+'Reference Curves'!$AM$66, IF(E25&lt;56.6, 'Reference Curves'!$AN$65*E25+'Reference Curves'!$AN$66, 'Reference Curves'!$AO$65*E25+'Reference Curves'!$AO$66)),2))), IF('Quantification Tool'!$B$17="Southern Coldwater", IF(E25&lt;29.2,0,IF(E25&gt;=72,1,ROUND(IF(E25&lt;43, 'Reference Curves'!$AP$65*E25+'Reference Curves'!$AP$66, IF(E25&lt;56.8, 'Reference Curves'!$AQ$65*E25+'Reference Curves'!$AQ$66, 'Reference Curves'!$AR$65*E25+'Reference Curves'!$AR$66)),2))), IF('Quantification Tool'!$B$17="Prairie Forest Rivers", IF(E25&lt;20.2,0,IF(E25&gt;=62,1,ROUND(IF(E25&lt;31, 'Reference Curves'!$AJ$110*E25+'Reference Curves'!$AJ$111, IF(E25&lt;41.8, 'Reference Curves'!$AK$110*E25+'Reference Curves'!$AK$111, 'Reference Curves'!$AL$110*E25+'Reference Curves'!$AL$111)),2))), IF('Quantification Tool'!$B$17="Prairie Streams Glide-Pool", IF(E25&lt;27.4,0,IF(E25&gt;=69,1,ROUND(IF(E25&lt;41, 'Reference Curves'!$AM$110*E25+'Reference Curves'!$AM$111, IF(E25&lt;54.6, 'Reference Curves'!$AN$110*E25+'Reference Curves'!$AN$111, 'Reference Curves'!$AO$110*E25+'Reference Curves'!$AO$111)),2))) ))))))))))</f>
        <v/>
      </c>
      <c r="G25" s="205" t="str">
        <f>IFERROR(AVERAGE(F25),"")</f>
        <v/>
      </c>
      <c r="H25" s="481" t="str">
        <f>IFERROR(ROUND(AVERAGE(G25:G26),2),"")</f>
        <v/>
      </c>
      <c r="I25" s="482" t="str">
        <f>IF(H25="","",IF(H25&gt;0.69,"Functioning",IF(H25&gt;0.29,"Functioning At Risk",IF(H25&gt;-1,"Not Functioning"))))</f>
        <v/>
      </c>
      <c r="L25" s="2"/>
      <c r="M25" s="2"/>
    </row>
    <row r="26" spans="1:13" ht="15.6" x14ac:dyDescent="0.3">
      <c r="A26" s="506"/>
      <c r="B26" s="206" t="s">
        <v>70</v>
      </c>
      <c r="C26" s="207" t="s">
        <v>227</v>
      </c>
      <c r="D26" s="208"/>
      <c r="E26" s="13"/>
      <c r="F26" s="89" t="str">
        <f>IF(E26="","",IF('Quantification Tool'!$B$18="Northern Rivers",IF(E26&lt;29,0,IF(E26&gt;=66,1,ROUND(IF(E26&lt;38, 'Reference Curves'!$AJ$156*E26+'Reference Curves'!$AJ$157, IF(E26&lt;47, 'Reference Curves'!$AK$156*E26+'Reference Curves'!$AK$157, 'Reference Curves'!$AL$156*E26+'Reference Curves'!$AL$157)),2))),   IF('Quantification Tool'!$B$18="Northern Streams",IF(E26&lt;35,0,IF(E26&gt;=61,1,ROUND(IF(E26&lt;47, 'Reference Curves'!$AM$156*E26+'Reference Curves'!$AM$157, IF(E26&lt;56, 'Reference Curves'!$AN$156*E26+'Reference Curves'!$AN$157, 'Reference Curves'!$AO$156*E26+'Reference Curves'!$AO$157) ),2))), IF('Quantification Tool'!$B$18="Northern Headwaters",IF(E26&lt;23,0,IF(E26&gt;=68,1,ROUND(IF(E26&lt;42, 'Reference Curves'!$AP$156*E26+'Reference Curves'!$AP$157, IF(E26&lt;56, 'Reference Curves'!$AQ$156*E26+'Reference Curves'!$AQ$157, 'Reference Curves'!$AR$156*E26+'Reference Curves'!$AR$157) ),2))), IF('Quantification Tool'!$B$18="Northern Coldwater",IF(E26&lt;25,0,IF(E26&gt;=60,1,ROUND(IF(E26&lt;35, 'Reference Curves'!$AS$156*E26+'Reference Curves'!$AS$157, IF(E26&lt;35, 'Reference Curves'!$AT$156*E26+'Reference Curves'!$AT$157, 'Reference Curves'!$AU$156*E26+'Reference Curves'!$AU$157) ),2))), IF('Quantification Tool'!$B$18="Southern River", IF(E26&lt;38,0,IF(E26&gt;=71,1,ROUND(IF(E26&lt;49, 'Reference Curves'!$AJ$203*E26+'Reference Curves'!$AJ$204, IF(E26&lt;60, 'Reference Curves'!$AK$203*E26+'Reference Curves'!$AK$204, 'Reference Curves'!$AL$203*E26+'Reference Curves'!$AL$204)),2))), IF('Quantification Tool'!$B$18="Southern Streams", IF(E26&lt;35,0,IF(E26&gt;=66,1,ROUND(IF(E26&lt;50, 'Reference Curves'!$AM$203*E26+'Reference Curves'!$AM$204, IF(E26&lt;59, 'Reference Curves'!$AN$203*E26+'Reference Curves'!$AN$204, 'Reference Curves'!$AO$203*E26+'Reference Curves'!$AO$204)),2))), IF('Quantification Tool'!$B$18="Southern Headwaters", IF(E26&lt;33,0,IF(E26&gt;=74,1,ROUND(IF(E26&lt;55, 'Reference Curves'!$AP$203*E26+'Reference Curves'!$AP$204, IF(E26&lt;62, 'Reference Curves'!$AQ$203*E26+'Reference Curves'!$AQ$204, 'Reference Curves'!$AR$203*E26+'Reference Curves'!$AR$204)),2))), IF('Quantification Tool'!$B$18="Southern Coldwater", IF(E26&lt;37,0,IF(E26&gt;=82,1,ROUND(IF(E26&lt;50, 'Reference Curves'!$AS$203*E26+'Reference Curves'!$AS$204, IF(E26&lt;63, 'Reference Curves'!$AT$203*E26+'Reference Curves'!$AT$204, 'Reference Curves'!$AU$203*E26+'Reference Curves'!$AU$204)),2))), IF('Quantification Tool'!$B$18="Low Gradient", IF(E26&lt;15,0,IF(E26&gt;=70,1,ROUND(IF(E26&lt;42, 'Reference Curves'!$AJ$247*E26+'Reference Curves'!$AJ$248, IF(E26&lt;52, 'Reference Curves'!$AK$247*E26+'Reference Curves'!$AK$248, 'Reference Curves'!$AL$247*E26+'Reference Curves'!$AL$248)),2))) ))))))))))</f>
        <v/>
      </c>
      <c r="G26" s="205" t="str">
        <f>IFERROR(AVERAGE(F26),"")</f>
        <v/>
      </c>
      <c r="H26" s="481"/>
      <c r="I26" s="482"/>
      <c r="L26" s="2"/>
      <c r="M26" s="2"/>
    </row>
    <row r="29" spans="1:13" ht="21" x14ac:dyDescent="0.4">
      <c r="A29" s="28" t="s">
        <v>120</v>
      </c>
      <c r="B29" s="166">
        <v>1</v>
      </c>
      <c r="C29" s="168" t="s">
        <v>186</v>
      </c>
      <c r="D29" s="584"/>
      <c r="E29" s="584"/>
      <c r="F29" s="585"/>
      <c r="G29" s="589" t="s">
        <v>14</v>
      </c>
      <c r="H29" s="590"/>
      <c r="I29" s="591"/>
    </row>
    <row r="30" spans="1:13" ht="15.6" x14ac:dyDescent="0.3">
      <c r="A30" s="34" t="s">
        <v>1</v>
      </c>
      <c r="B30" s="34" t="s">
        <v>2</v>
      </c>
      <c r="C30" s="154" t="s">
        <v>3</v>
      </c>
      <c r="D30" s="155"/>
      <c r="E30" s="34" t="s">
        <v>12</v>
      </c>
      <c r="F30" s="34" t="s">
        <v>13</v>
      </c>
      <c r="G30" s="34" t="s">
        <v>15</v>
      </c>
      <c r="H30" s="34" t="s">
        <v>16</v>
      </c>
      <c r="I30" s="34" t="s">
        <v>16</v>
      </c>
    </row>
    <row r="31" spans="1:13" ht="15.6" x14ac:dyDescent="0.3">
      <c r="A31" s="559" t="s">
        <v>201</v>
      </c>
      <c r="B31" s="563" t="s">
        <v>113</v>
      </c>
      <c r="C31" s="194" t="s">
        <v>169</v>
      </c>
      <c r="D31" s="195"/>
      <c r="E31" s="72"/>
      <c r="F31" s="197" t="str">
        <f>IF(E31="","",IF(E31&gt;=80,0,IF(E31&lt;=40,1,IF(E31&gt;=68,ROUND(E31*'Reference Curves'!$C$14+'Reference Curves'!$C$15,2),ROUND(E31*'Reference Curves'!$D$14+'Reference Curves'!$D$15,2)))))</f>
        <v/>
      </c>
      <c r="G31" s="487" t="str">
        <f>IFERROR(AVERAGE(F31:F33),"")</f>
        <v/>
      </c>
      <c r="H31" s="487" t="str">
        <f>IFERROR(ROUND(AVERAGE(G31:G33),2),"")</f>
        <v/>
      </c>
      <c r="I31" s="475" t="str">
        <f>IF(H31="","",IF(H31:H33&gt;0.69,"Functioning",IF(H31&gt;0.29,"Functioning At Risk",IF(H31&gt;-1,"Not Functioning"))))</f>
        <v/>
      </c>
    </row>
    <row r="32" spans="1:13" ht="15.6" x14ac:dyDescent="0.3">
      <c r="A32" s="560"/>
      <c r="B32" s="564"/>
      <c r="C32" s="262" t="s">
        <v>271</v>
      </c>
      <c r="D32" s="196"/>
      <c r="E32" s="199"/>
      <c r="F32" s="265" t="str">
        <f>IF(E32="","",  IF(E32&gt;0.95,0,IF(E32&lt;=0.02,1,ROUND(IF(E32&gt;0.26, 'Reference Curves'!$C$45*E32+'Reference Curves'!$C$46, IF(E32&lt;0.05, 'Reference Curves'!$E$45*E32+'Reference Curves'!$E$46, 'Reference Curves'!$D$45*E32+'Reference Curves'!$D$46)),2))) )</f>
        <v/>
      </c>
      <c r="G32" s="488"/>
      <c r="H32" s="488"/>
      <c r="I32" s="476"/>
    </row>
    <row r="33" spans="1:9" ht="15.6" customHeight="1" x14ac:dyDescent="0.3">
      <c r="A33" s="560"/>
      <c r="B33" s="565"/>
      <c r="C33" s="340" t="s">
        <v>302</v>
      </c>
      <c r="D33" s="341"/>
      <c r="E33" s="70"/>
      <c r="F33" s="312" t="str">
        <f>IF(E33="","",   IF(E33&gt;3.22,0, IF(E33&lt;0, "", ROUND('Reference Curves'!$C$74*E33+'Reference Curves'!$C$75,2))))</f>
        <v/>
      </c>
      <c r="G33" s="489"/>
      <c r="H33" s="488"/>
      <c r="I33" s="477"/>
    </row>
    <row r="34" spans="1:9" ht="15.6" x14ac:dyDescent="0.3">
      <c r="A34" s="561" t="s">
        <v>200</v>
      </c>
      <c r="B34" s="557" t="s">
        <v>5</v>
      </c>
      <c r="C34" s="74" t="s">
        <v>6</v>
      </c>
      <c r="D34" s="74"/>
      <c r="E34" s="72"/>
      <c r="F34" s="272" t="str">
        <f>IF(E34="","",ROUND(IF(E34&gt;1.71,0,IF(E34&lt;=1,1,E34*'Reference Curves'!K$13+'Reference Curves'!K$14)),2))</f>
        <v/>
      </c>
      <c r="G34" s="492" t="str">
        <f>IFERROR(AVERAGE(F34:F35),"")</f>
        <v/>
      </c>
      <c r="H34" s="492" t="str">
        <f>IFERROR(ROUND(AVERAGE(G34),2),"")</f>
        <v/>
      </c>
      <c r="I34" s="476" t="str">
        <f>IF(H34="","",IF(H34&gt;0.69,"Functioning",IF(H34&gt;0.29,"Functioning At Risk",IF(H34&gt;-1,"Not Functioning"))))</f>
        <v/>
      </c>
    </row>
    <row r="35" spans="1:9" ht="15.6" customHeight="1" x14ac:dyDescent="0.3">
      <c r="A35" s="562"/>
      <c r="B35" s="558"/>
      <c r="C35" s="75" t="s">
        <v>7</v>
      </c>
      <c r="D35" s="75"/>
      <c r="E35" s="73"/>
      <c r="F35" s="76" t="str">
        <f>IF(E35="","",IF(OR('Quantification Tool'!$B$9="A",'Quantification Tool'!$B$9="Ba",'Quantification Tool'!$B$9="B", 'Quantification Tool'!$B$9="Bc"),IF(E35&lt;1.2,0,IF(E35&gt;=2.2,1,ROUND(IF(E35&lt;1.4,E35*'Reference Curves'!$K$82+'Reference Curves'!$K$83,E35*'Reference Curves'!$L$82+'Reference Curves'!$L$83),2))),IF(OR('Quantification Tool'!$B$9="C",'Quantification Tool'!$B$9="Cb",'Quantification Tool'!$B$9="E"),IF(E35&lt;2,0,IF(E35&gt;=5,1,ROUND(IF(E35&lt;2.4,E35*'Reference Curves'!$L$47+'Reference Curves'!$L$48,E35*'Reference Curves'!$K$47+'Reference Curves'!$K$48),2))))))</f>
        <v/>
      </c>
      <c r="G35" s="493"/>
      <c r="H35" s="493"/>
      <c r="I35" s="477"/>
    </row>
    <row r="36" spans="1:9" ht="15.6" x14ac:dyDescent="0.3">
      <c r="A36" s="507" t="s">
        <v>20</v>
      </c>
      <c r="B36" s="507" t="s">
        <v>21</v>
      </c>
      <c r="C36" s="18" t="s">
        <v>19</v>
      </c>
      <c r="D36" s="77"/>
      <c r="E36" s="72"/>
      <c r="F36" s="78" t="str">
        <f>IF(E36="","",IF(E36&gt;=660,1,IF(E36&lt;=430,ROUND('Reference Curves'!$S$14*E36+'Reference Curves'!$S$15,2),ROUND('Reference Curves'!$T$14*E36+'Reference Curves'!$T$15,2))))</f>
        <v/>
      </c>
      <c r="G36" s="509" t="str">
        <f>IFERROR(AVERAGE(F36:F37),"")</f>
        <v/>
      </c>
      <c r="H36" s="509" t="str">
        <f>IFERROR(ROUND(AVERAGE(G36:G49),2),"")</f>
        <v/>
      </c>
      <c r="I36" s="516" t="str">
        <f>IF(H36="","",IF(H36&gt;0.69,"Functioning",IF(H36&gt;0.29,"Functioning At Risk",IF(H36&gt;-1,"Not Functioning"))))</f>
        <v/>
      </c>
    </row>
    <row r="37" spans="1:9" ht="15.6" x14ac:dyDescent="0.3">
      <c r="A37" s="511"/>
      <c r="B37" s="508"/>
      <c r="C37" s="17" t="s">
        <v>353</v>
      </c>
      <c r="D37" s="79"/>
      <c r="E37" s="73"/>
      <c r="F37" s="210" t="str">
        <f>IF(E37="","",IF(E37&gt;=28,1,ROUND(IF(E37&lt;=13,'Reference Curves'!$S$47*E37,'Reference Curves'!$T$47*E37+'Reference Curves'!$T$48),2)))</f>
        <v/>
      </c>
      <c r="G37" s="510"/>
      <c r="H37" s="515"/>
      <c r="I37" s="517"/>
    </row>
    <row r="38" spans="1:9" ht="15.6" x14ac:dyDescent="0.3">
      <c r="A38" s="511"/>
      <c r="B38" s="511" t="s">
        <v>196</v>
      </c>
      <c r="C38" s="80" t="s">
        <v>43</v>
      </c>
      <c r="D38" s="80"/>
      <c r="E38" s="199"/>
      <c r="F38" s="160" t="str">
        <f>IF(E38="","",IF(OR(E38="Ex/Ex",E38="Ex/VH",E38="Ex/H",E38="Ex/M",E38="VH/Ex",E38="VH/VH", E38="H/Ex",E38="H/VH"),0, IF(OR(E38="M/Ex"),0.1,IF(OR(E38="VH/H",E38="VH/M",E38="H/H",E38="H/M", E38="M/VH"),0.2, IF(OR(E38="Ex/VL",E38="Ex/L", E38="M/H"),0.3, IF(OR(E38="VH/L",E38="H/L"),0.4, IF(OR(E38="VH/VL",E38="H/VL",E38="M/M"),0.5, IF(OR(E38="M/L",E38="L/Ex"),0.6, IF(OR(E38="M/VL",E38="L/VH", E38="L/H",E38="L/M",E38="L/L",E38="L/VL",LEFT(E38)="V"),1)))))))))</f>
        <v/>
      </c>
      <c r="G38" s="515" t="str">
        <f>IFERROR(AVERAGE(F38:F40),"")</f>
        <v/>
      </c>
      <c r="H38" s="515"/>
      <c r="I38" s="517"/>
    </row>
    <row r="39" spans="1:9" ht="15.6" x14ac:dyDescent="0.3">
      <c r="A39" s="511"/>
      <c r="B39" s="511"/>
      <c r="C39" s="173" t="s">
        <v>79</v>
      </c>
      <c r="D39" s="173"/>
      <c r="E39" s="199"/>
      <c r="F39" s="160" t="str">
        <f>IF(E39="","",ROUND(IF(E39&gt;=75,0,IF(E39&lt;=5,1,IF(E39&gt;10,E39*'Reference Curves'!S$81+'Reference Curves'!S$82,'Reference Curves'!$T$81*E39+'Reference Curves'!$T$82))),2))</f>
        <v/>
      </c>
      <c r="G39" s="515"/>
      <c r="H39" s="515"/>
      <c r="I39" s="517"/>
    </row>
    <row r="40" spans="1:9" ht="15.6" x14ac:dyDescent="0.3">
      <c r="A40" s="511"/>
      <c r="B40" s="508"/>
      <c r="C40" s="176" t="s">
        <v>195</v>
      </c>
      <c r="D40" s="144"/>
      <c r="E40" s="73"/>
      <c r="F40" s="181" t="str">
        <f>IF(E40="","",IF(E40&gt;=50,0,ROUND(E40*'Reference Curves'!$S$112+'Reference Curves'!$S$113,2)))</f>
        <v/>
      </c>
      <c r="G40" s="510"/>
      <c r="H40" s="515"/>
      <c r="I40" s="517"/>
    </row>
    <row r="41" spans="1:9" ht="15.6" x14ac:dyDescent="0.3">
      <c r="A41" s="511"/>
      <c r="B41" s="87" t="s">
        <v>97</v>
      </c>
      <c r="C41" s="17" t="s">
        <v>115</v>
      </c>
      <c r="D41" s="80"/>
      <c r="E41" s="73"/>
      <c r="F41" s="157" t="str">
        <f>IF(OR(E41="",'Quantification Tool'!$B$14=""),"",IF(OR('Quantification Tool'!$B$14="Silt/Clay",'Quantification Tool'!$B$14="Sand",'Quantification Tool'!$B$14="Boulders",'Quantification Tool'!$B$14="Bedrock"),"NA",IF(E41&gt;0.1,1,IF(E41&lt;=0.01,0,ROUND(E41*'Reference Curves'!$S$143+'Reference Curves'!$S$144,2)))))</f>
        <v/>
      </c>
      <c r="G41" s="82" t="str">
        <f>IFERROR(AVERAGE(F41),"")</f>
        <v/>
      </c>
      <c r="H41" s="515"/>
      <c r="I41" s="517"/>
    </row>
    <row r="42" spans="1:9" ht="15.6" x14ac:dyDescent="0.3">
      <c r="A42" s="511"/>
      <c r="B42" s="507" t="s">
        <v>45</v>
      </c>
      <c r="C42" s="77" t="s">
        <v>46</v>
      </c>
      <c r="D42" s="77"/>
      <c r="E42" s="83"/>
      <c r="F42" s="84" t="str">
        <f>IF(E42="","", IF(OR(LEFT('Quantification Tool'!$B$9)="C",'Quantification Tool'!$B$9="E"), IF(OR(E42&lt;=1,E42&gt;=9),0,IF(AND(E42&gt;=3.5,E42&lt;=6),1,IF(E42&lt;3.5, ROUND(E42*'Reference Curves'!$S$243+'Reference Curves'!$S$244,2), ROUND(E42*'Reference Curves'!$T$243+'Reference Curves'!$T$244,2)))),   IF(OR(('Quantification Tool'!$B$9)="A",('Quantification Tool'!$B$9)="B",('Quantification Tool'!$B$9)="Ba"), IF(E42&gt;=6.5,0, IF(E42&lt;=4, 1, ROUND(E42^2*'Reference Curves'!$S$177+E42*'Reference Curves'!$S$178+'Reference Curves'!$S$179,2))), IF('Quantification Tool'!$B$9="Bc",  IF(E42&gt;=8,0, IF(E42&lt;=5, 1, ROUND(E42^2*'Reference Curves'!$S$209+E42*'Reference Curves'!$S$210+'Reference Curves'!$S$211,2)))))))</f>
        <v/>
      </c>
      <c r="G42" s="512" t="str">
        <f>IFERROR(AVERAGE(F42:F45),"")</f>
        <v/>
      </c>
      <c r="H42" s="515"/>
      <c r="I42" s="517"/>
    </row>
    <row r="43" spans="1:9" ht="15.6" x14ac:dyDescent="0.3">
      <c r="A43" s="511"/>
      <c r="B43" s="511"/>
      <c r="C43" s="80" t="s">
        <v>47</v>
      </c>
      <c r="D43" s="80"/>
      <c r="E43" s="81"/>
      <c r="F43" s="85" t="str">
        <f>IF(E43="","", ROUND(  IF(E43&lt;=1.1,0, IF(E43&gt;=3,1, IF(E43&lt;2, E43^2*'Reference Curves'!$S$276+  E43*'Reference Curves'!$S$277 + 'Reference Curves'!$S$278,     E43*'Reference Curves'!$T$277 + 'Reference Curves'!$T$278))),2))</f>
        <v/>
      </c>
      <c r="G43" s="513"/>
      <c r="H43" s="515"/>
      <c r="I43" s="517"/>
    </row>
    <row r="44" spans="1:9" ht="15.6" x14ac:dyDescent="0.3">
      <c r="A44" s="511"/>
      <c r="B44" s="511"/>
      <c r="C44" s="15" t="s">
        <v>173</v>
      </c>
      <c r="D44" s="80"/>
      <c r="E44" s="81"/>
      <c r="F44" s="391" t="str">
        <f>IF(E44="","", IF(OR('Quantification Tool'!$B$9="A",LEFT('Quantification Tool'!$B$9,1)="B"), IF(OR(E44&lt;=20,E44&gt;=90),0,IF(AND(E44&gt;=50,E44&lt;=60),1,IF(E44&lt;50, ROUND(E44*'Reference Curves'!$S$310+'Reference Curves'!$S$311,2),ROUND( E44*'Reference Curves'!$T$310+'Reference Curves'!$T$311,2)))),   IF(OR(LEFT('Quantification Tool'!$B$9)="C",'Quantification Tool'!$B$9="E"), IF(OR(E44&lt;=20,E44&gt;=85),0, IF(AND(E44&lt;=65,E44&gt;=45), 1, IF(E44&lt;45, ROUND(E44*'Reference Curves'!$S$343+'Reference Curves'!$S$344,2),ROUN(E44*'Reference Curves'!$T$343+'Reference Curves'!$T$344,2))))   )  ))</f>
        <v/>
      </c>
      <c r="G44" s="513"/>
      <c r="H44" s="515"/>
      <c r="I44" s="517"/>
    </row>
    <row r="45" spans="1:9" ht="15.6" x14ac:dyDescent="0.3">
      <c r="A45" s="511"/>
      <c r="B45" s="508"/>
      <c r="C45" s="79" t="s">
        <v>136</v>
      </c>
      <c r="D45" s="79"/>
      <c r="E45" s="86"/>
      <c r="F45" s="362" t="str">
        <f>IF(E45="","",IF(E45&gt;=1.6,0,IF(E45&lt;=1,1,ROUND('Reference Curves'!$S$375*E45^3+'Reference Curves'!$S$376*E45^2+'Reference Curves'!$S$377*E45+'Reference Curves'!$S$378,2))))</f>
        <v/>
      </c>
      <c r="G45" s="514"/>
      <c r="H45" s="515"/>
      <c r="I45" s="517"/>
    </row>
    <row r="46" spans="1:9" ht="15.6" x14ac:dyDescent="0.3">
      <c r="A46" s="511"/>
      <c r="B46" s="507" t="s">
        <v>44</v>
      </c>
      <c r="C46" s="16" t="s">
        <v>295</v>
      </c>
      <c r="D46" s="179"/>
      <c r="E46" s="180"/>
      <c r="F46" s="172" t="str">
        <f>IF(E46="","",IF('Quantification Tool'!$B$19="Unconfined Alluvial",IF(E46&gt;=100,1,IF(E46&lt;30,0,ROUND('Reference Curves'!$S$411*E46+'Reference Curves'!$S$412,2))),IF(OR('Quantification Tool'!$B$19="Confined Alluvial",'Quantification Tool'!$B$19="Colluvial/V-Shaped"),(IF(E46&gt;=100,1,IF(E46&lt;60,0,ROUND('Reference Curves'!$T$411*E46+'Reference Curves'!$T$412,2)))))))</f>
        <v/>
      </c>
      <c r="G46" s="512" t="str">
        <f>IFERROR(AVERAGE(F46:F49),"")</f>
        <v/>
      </c>
      <c r="H46" s="515"/>
      <c r="I46" s="517"/>
    </row>
    <row r="47" spans="1:9" ht="15.6" x14ac:dyDescent="0.3">
      <c r="A47" s="511"/>
      <c r="B47" s="511"/>
      <c r="C47" s="145" t="s">
        <v>297</v>
      </c>
      <c r="D47" s="169"/>
      <c r="E47" s="177"/>
      <c r="F47" s="85" t="str">
        <f>IF(E47="","",IF('Quantification Tool'!$B$10="Yes",IF(E47&lt;=50,0,IF(E47&gt;=80,1,ROUND('Reference Curves'!$S$445*E47+'Reference Curves'!$S$446,2))),IF('Quantification Tool'!$B$10="No",IF(E47&gt;=80,0,IF(E47&lt;=50,1,ROUND(E47*'Reference Curves'!$T$445+'Reference Curves'!$T$446,2))))))</f>
        <v/>
      </c>
      <c r="G47" s="513"/>
      <c r="H47" s="515"/>
      <c r="I47" s="517"/>
    </row>
    <row r="48" spans="1:9" ht="15.6" x14ac:dyDescent="0.3">
      <c r="A48" s="511"/>
      <c r="B48" s="519"/>
      <c r="C48" s="145" t="s">
        <v>189</v>
      </c>
      <c r="D48" s="169"/>
      <c r="E48" s="177"/>
      <c r="F48" s="85" t="str">
        <f>IF(E48="","",IF(E48&lt;=50,0,IF(E48&gt;=80,1, ROUND(E48*'Reference Curves'!$S$477+'Reference Curves'!$S$478,2))))</f>
        <v/>
      </c>
      <c r="G48" s="513"/>
      <c r="H48" s="515"/>
      <c r="I48" s="517"/>
    </row>
    <row r="49" spans="1:9" ht="15.6" x14ac:dyDescent="0.3">
      <c r="A49" s="508"/>
      <c r="B49" s="508"/>
      <c r="C49" s="520" t="s">
        <v>377</v>
      </c>
      <c r="D49" s="521"/>
      <c r="E49" s="178"/>
      <c r="F49" s="85" t="str">
        <f>IF(E49="","",IF('Quantification Tool'!$B$10="Yes",IF(E49&lt;=9,0,IF(E49&gt;=14,1,ROUND('Reference Curves'!$S$509*E49+'Reference Curves'!$S$510,2))),"FALSE"))</f>
        <v/>
      </c>
      <c r="G49" s="514"/>
      <c r="H49" s="510"/>
      <c r="I49" s="518"/>
    </row>
    <row r="50" spans="1:9" ht="15.6" x14ac:dyDescent="0.3">
      <c r="A50" s="502" t="s">
        <v>51</v>
      </c>
      <c r="B50" s="313" t="s">
        <v>74</v>
      </c>
      <c r="C50" s="314" t="s">
        <v>272</v>
      </c>
      <c r="D50" s="315"/>
      <c r="E50" s="44"/>
      <c r="F50" s="319" t="str">
        <f>IF(E50="","",  IF(E50&gt;=25,0,IF(E50&lt;=10,1,ROUND(IF(E50&gt;18, 'Reference Curves'!$AA$14*E50+'Reference Curves'!$AA$15, IF(E50&lt;12, 'Reference Curves'!$AC$14*E50+'Reference Curves'!$AC$15, 'Reference Curves'!$AB$14*E50+'Reference Curves'!$AB$15)),2))) )</f>
        <v/>
      </c>
      <c r="G50" s="321" t="str">
        <f t="shared" ref="G50:G51" si="1">IFERROR(AVERAGE(F50),"")</f>
        <v/>
      </c>
      <c r="H50" s="568" t="str">
        <f>IFERROR(ROUND(AVERAGE(G50:G52),2),"")</f>
        <v/>
      </c>
      <c r="I50" s="482" t="str">
        <f>IF(H50="","",IF(H50&gt;0.69,"Functioning",IF(H50&gt;0.29,"Functioning At Risk",IF(H50&gt;-1,"Not Functioning"))))</f>
        <v/>
      </c>
    </row>
    <row r="51" spans="1:9" ht="15.6" x14ac:dyDescent="0.3">
      <c r="A51" s="503"/>
      <c r="B51" s="323" t="s">
        <v>280</v>
      </c>
      <c r="C51" s="314" t="s">
        <v>281</v>
      </c>
      <c r="D51" s="315"/>
      <c r="E51" s="199"/>
      <c r="F51" s="320" t="str">
        <f>IF(E51="","",IF('Quantification Tool'!$B$11="2A",IF(E51&lt;=5.3,0,IF(E51&gt;=8.79,1,ROUND(E51*'Reference Curves'!$AA$50+'Reference Curves'!$AA$51,2))),IF('Quantification Tool'!$B$11=7,IF(E51&lt;=0.8,0,IF(E51&gt;=1.25,1,ROUND(E51*'Reference Curves'!$AC$50+'Reference Curves'!$AC$51,2))),IF(OR('Quantification Tool'!$B$11="2B", 'Quantification Tool'!$B$11="2Bd",'Quantification Tool'!$B$11="2C"),IF(E51&lt;=3.8,0,(IF(E51&gt;=6.24,1,ROUND(E51*'Reference Curves'!$AB$50+'Reference Curves'!$AB$51,2))))))))</f>
        <v/>
      </c>
      <c r="G51" s="321" t="str">
        <f t="shared" si="1"/>
        <v/>
      </c>
      <c r="H51" s="569"/>
      <c r="I51" s="482"/>
    </row>
    <row r="52" spans="1:9" ht="15.6" x14ac:dyDescent="0.3">
      <c r="A52" s="504"/>
      <c r="B52" s="289" t="s">
        <v>293</v>
      </c>
      <c r="C52" s="317" t="s">
        <v>294</v>
      </c>
      <c r="D52" s="318"/>
      <c r="E52" s="44"/>
      <c r="F52" s="320" t="str">
        <f>IF(E52="","",IF('Quantification Tool'!B$11="2A",IF(E52&gt;=12.5,0,IF(E52&lt;=7.5,1,ROUND(E52*'Reference Curves'!$AA$86+'Reference Curves'!$AA$87,2))),IF(OR('Quantification Tool'!B$11="2B",'Quantification Tool'!B$11="2Bd",'Quantification Tool'!B$11="2C"),IF('Quantification Tool'!B$12="North",IF(E52&gt;=18.8,0,IF(E52&lt;=11.3,1,ROUND(E52*'Reference Curves'!$AB$86+'Reference Curves'!$AB$87,2))),IF('Quantification Tool'!B$12="Central",(IF(E52&gt;=37.5,0,IF(E52&lt;=22.5,1,ROUND(E52*'Reference Curves'!$AC$86+'Reference Curves'!$AC$87,2)))),IF(E52&gt;=81.2,0,(IF(E52&lt;=48.7,1,ROUND(E52*'Reference Curves'!$AD$86+'Reference Curves'!$AD$87,2)))))))))</f>
        <v/>
      </c>
      <c r="G52" s="321" t="str">
        <f>IFERROR(AVERAGE(F52),"")</f>
        <v/>
      </c>
      <c r="H52" s="570"/>
      <c r="I52" s="482"/>
    </row>
    <row r="53" spans="1:9" ht="15.6" x14ac:dyDescent="0.3">
      <c r="A53" s="505" t="s">
        <v>52</v>
      </c>
      <c r="B53" s="204" t="s">
        <v>129</v>
      </c>
      <c r="C53" s="203" t="s">
        <v>226</v>
      </c>
      <c r="D53" s="88"/>
      <c r="E53" s="72"/>
      <c r="F53" s="89" t="str">
        <f>IF(E53="","",IF('Quantification Tool'!$B$17="Northern Forest Rivers",IF(E53&lt;=38.2,0,IF(E53&gt;=77,1,ROUND(IF(E53&lt;49, 'Reference Curves'!$AJ$18*E53+'Reference Curves'!$AJ$19, IF(E53&lt;59.8, 'Reference Curves'!$AK$18*E53+'Reference Curves'!$AK$19, 'Reference Curves'!$AL$18*E53+'Reference Curves'!$AL$19)),2))),   IF('Quantification Tool'!$B$17="Northern Forest Streams Riffle-run",IF(E53&lt;40.4,0,IF(E53&gt;=82,1,ROUND(IF(E53&lt;53, 'Reference Curves'!$AM$18*E53+'Reference Curves'!$AM$19, IF(E53&lt;59.8, 'Reference Curves'!$AN$18*E53+'Reference Curves'!$AN$19, 'Reference Curves'!$AO$18*E53+'Reference Curves'!$AO$19) ),2))), IF('Quantification Tool'!$B$17="Northern Forest Streams Glide-pool",IF(E53&lt;=37,0,IF(E53&gt;=76,1,ROUND(IF(E53&lt;51, 'Reference Curves'!$AP$18*E53+'Reference Curves'!$AP$19, IF(E53&lt;65.6, 'Reference Curves'!$AQ$18*E53+'Reference Curves'!$AQ$19, 'Reference Curves'!$AR$18*E53+'Reference Curves'!$AR$19) ),2))), IF('Quantification Tool'!$B$17="Northern Coldwater",IF(E53&lt;19.6,0,IF(E53&gt;=52,1,ROUND(IF(E53&lt;32, 'Reference Curves'!$AS$18*E53+'Reference Curves'!$AS$19, IF(E53&lt;44.4, 'Reference Curves'!$AT$18*E53+'Reference Curves'!$AT$19, 'Reference Curves'!$AU$18*E53+'Reference Curves'!$AU$19) ),2))), IF('Quantification Tool'!$B$17="Southern Forest Streams Riffle-run", IF(E53&lt;24,0,IF(E53&gt;=62,1,ROUND(IF(E53&lt;37, 'Reference Curves'!$AJ$65*E53+'Reference Curves'!$AJ$66, IF(E53&lt;49.6, 'Reference Curves'!$AK$65*E53+'Reference Curves'!$AK$66, 'Reference Curves'!$AL$65*E53+'Reference Curves'!$AL$66)),2))), IF('Quantification Tool'!$B$17="Southern Forest Streams Glide-pool", IF(E53&lt;29.4,0,IF(E53&gt;=65,1,ROUND(IF(E53&lt;43, 'Reference Curves'!$AM$65*E53+'Reference Curves'!$AM$66, IF(E53&lt;56.6, 'Reference Curves'!$AN$65*E53+'Reference Curves'!$AN$66, 'Reference Curves'!$AO$65*E53+'Reference Curves'!$AO$66)),2))), IF('Quantification Tool'!$B$17="Southern Coldwater", IF(E53&lt;29.2,0,IF(E53&gt;=72,1,ROUND(IF(E53&lt;43, 'Reference Curves'!$AP$65*E53+'Reference Curves'!$AP$66, IF(E53&lt;56.8, 'Reference Curves'!$AQ$65*E53+'Reference Curves'!$AQ$66, 'Reference Curves'!$AR$65*E53+'Reference Curves'!$AR$66)),2))), IF('Quantification Tool'!$B$17="Prairie Forest Rivers", IF(E53&lt;20.2,0,IF(E53&gt;=62,1,ROUND(IF(E53&lt;31, 'Reference Curves'!$AJ$110*E53+'Reference Curves'!$AJ$111, IF(E53&lt;41.8, 'Reference Curves'!$AK$110*E53+'Reference Curves'!$AK$111, 'Reference Curves'!$AL$110*E53+'Reference Curves'!$AL$111)),2))), IF('Quantification Tool'!$B$17="Prairie Streams Glide-Pool", IF(E53&lt;27.4,0,IF(E53&gt;=69,1,ROUND(IF(E53&lt;41, 'Reference Curves'!$AM$110*E53+'Reference Curves'!$AM$111, IF(E53&lt;54.6, 'Reference Curves'!$AN$110*E53+'Reference Curves'!$AN$111, 'Reference Curves'!$AO$110*E53+'Reference Curves'!$AO$111)),2))) ))))))))))</f>
        <v/>
      </c>
      <c r="G53" s="205" t="str">
        <f>IFERROR(AVERAGE(F53),"")</f>
        <v/>
      </c>
      <c r="H53" s="481" t="str">
        <f>IFERROR(ROUND(AVERAGE(G53:G54),2),"")</f>
        <v/>
      </c>
      <c r="I53" s="482" t="str">
        <f>IF(H53="","",IF(H53&gt;0.69,"Functioning",IF(H53&gt;0.29,"Functioning At Risk",IF(H53&gt;-1,"Not Functioning"))))</f>
        <v/>
      </c>
    </row>
    <row r="54" spans="1:9" ht="15.6" x14ac:dyDescent="0.3">
      <c r="A54" s="506"/>
      <c r="B54" s="206" t="s">
        <v>70</v>
      </c>
      <c r="C54" s="207" t="s">
        <v>227</v>
      </c>
      <c r="D54" s="208"/>
      <c r="E54" s="13"/>
      <c r="F54" s="89" t="str">
        <f>IF(E54="","",IF('Quantification Tool'!$B$18="Northern Rivers",IF(E54&lt;29,0,IF(E54&gt;=66,1,ROUND(IF(E54&lt;38, 'Reference Curves'!$AJ$156*E54+'Reference Curves'!$AJ$157, IF(E54&lt;47, 'Reference Curves'!$AK$156*E54+'Reference Curves'!$AK$157, 'Reference Curves'!$AL$156*E54+'Reference Curves'!$AL$157)),2))),   IF('Quantification Tool'!$B$18="Northern Streams",IF(E54&lt;35,0,IF(E54&gt;=61,1,ROUND(IF(E54&lt;47, 'Reference Curves'!$AM$156*E54+'Reference Curves'!$AM$157, IF(E54&lt;56, 'Reference Curves'!$AN$156*E54+'Reference Curves'!$AN$157, 'Reference Curves'!$AO$156*E54+'Reference Curves'!$AO$157) ),2))), IF('Quantification Tool'!$B$18="Northern Headwaters",IF(E54&lt;23,0,IF(E54&gt;=68,1,ROUND(IF(E54&lt;42, 'Reference Curves'!$AP$156*E54+'Reference Curves'!$AP$157, IF(E54&lt;56, 'Reference Curves'!$AQ$156*E54+'Reference Curves'!$AQ$157, 'Reference Curves'!$AR$156*E54+'Reference Curves'!$AR$157) ),2))), IF('Quantification Tool'!$B$18="Northern Coldwater",IF(E54&lt;25,0,IF(E54&gt;=60,1,ROUND(IF(E54&lt;35, 'Reference Curves'!$AS$156*E54+'Reference Curves'!$AS$157, IF(E54&lt;35, 'Reference Curves'!$AT$156*E54+'Reference Curves'!$AT$157, 'Reference Curves'!$AU$156*E54+'Reference Curves'!$AU$157) ),2))), IF('Quantification Tool'!$B$18="Southern River", IF(E54&lt;38,0,IF(E54&gt;=71,1,ROUND(IF(E54&lt;49, 'Reference Curves'!$AJ$203*E54+'Reference Curves'!$AJ$204, IF(E54&lt;60, 'Reference Curves'!$AK$203*E54+'Reference Curves'!$AK$204, 'Reference Curves'!$AL$203*E54+'Reference Curves'!$AL$204)),2))), IF('Quantification Tool'!$B$18="Southern Streams", IF(E54&lt;35,0,IF(E54&gt;=66,1,ROUND(IF(E54&lt;50, 'Reference Curves'!$AM$203*E54+'Reference Curves'!$AM$204, IF(E54&lt;59, 'Reference Curves'!$AN$203*E54+'Reference Curves'!$AN$204, 'Reference Curves'!$AO$203*E54+'Reference Curves'!$AO$204)),2))), IF('Quantification Tool'!$B$18="Southern Headwaters", IF(E54&lt;33,0,IF(E54&gt;=74,1,ROUND(IF(E54&lt;55, 'Reference Curves'!$AP$203*E54+'Reference Curves'!$AP$204, IF(E54&lt;62, 'Reference Curves'!$AQ$203*E54+'Reference Curves'!$AQ$204, 'Reference Curves'!$AR$203*E54+'Reference Curves'!$AR$204)),2))), IF('Quantification Tool'!$B$18="Southern Coldwater", IF(E54&lt;37,0,IF(E54&gt;=82,1,ROUND(IF(E54&lt;50, 'Reference Curves'!$AS$203*E54+'Reference Curves'!$AS$204, IF(E54&lt;63, 'Reference Curves'!$AT$203*E54+'Reference Curves'!$AT$204, 'Reference Curves'!$AU$203*E54+'Reference Curves'!$AU$204)),2))), IF('Quantification Tool'!$B$18="Low Gradient", IF(E54&lt;15,0,IF(E54&gt;=70,1,ROUND(IF(E54&lt;42, 'Reference Curves'!$AJ$247*E54+'Reference Curves'!$AJ$248, IF(E54&lt;52, 'Reference Curves'!$AK$247*E54+'Reference Curves'!$AK$248, 'Reference Curves'!$AL$247*E54+'Reference Curves'!$AL$248)),2))) ))))))))))</f>
        <v/>
      </c>
      <c r="G54" s="205" t="str">
        <f>IFERROR(AVERAGE(F54),"")</f>
        <v/>
      </c>
      <c r="H54" s="481"/>
      <c r="I54" s="482"/>
    </row>
    <row r="56" spans="1:9" ht="21" x14ac:dyDescent="0.4">
      <c r="A56" s="28" t="s">
        <v>120</v>
      </c>
      <c r="B56" s="166">
        <v>2</v>
      </c>
      <c r="C56" s="168" t="s">
        <v>186</v>
      </c>
      <c r="D56" s="584"/>
      <c r="E56" s="584"/>
      <c r="F56" s="585"/>
      <c r="G56" s="589" t="s">
        <v>14</v>
      </c>
      <c r="H56" s="590"/>
      <c r="I56" s="591"/>
    </row>
    <row r="57" spans="1:9" ht="15.6" x14ac:dyDescent="0.3">
      <c r="A57" s="34" t="s">
        <v>1</v>
      </c>
      <c r="B57" s="34" t="s">
        <v>2</v>
      </c>
      <c r="C57" s="154" t="s">
        <v>3</v>
      </c>
      <c r="D57" s="155"/>
      <c r="E57" s="34" t="s">
        <v>12</v>
      </c>
      <c r="F57" s="34" t="s">
        <v>13</v>
      </c>
      <c r="G57" s="34" t="s">
        <v>15</v>
      </c>
      <c r="H57" s="34" t="s">
        <v>16</v>
      </c>
      <c r="I57" s="34" t="s">
        <v>16</v>
      </c>
    </row>
    <row r="58" spans="1:9" ht="15.6" x14ac:dyDescent="0.3">
      <c r="A58" s="559" t="s">
        <v>201</v>
      </c>
      <c r="B58" s="563" t="s">
        <v>113</v>
      </c>
      <c r="C58" s="194" t="s">
        <v>169</v>
      </c>
      <c r="D58" s="195"/>
      <c r="E58" s="72"/>
      <c r="F58" s="197" t="str">
        <f>IF(E58="","",IF(E58&gt;=80,0,IF(E58&lt;=40,1,IF(E58&gt;=68,ROUND(E58*'Reference Curves'!$C$14+'Reference Curves'!$C$15,2),ROUND(E58*'Reference Curves'!$D$14+'Reference Curves'!$D$15,2)))))</f>
        <v/>
      </c>
      <c r="G58" s="487" t="str">
        <f>IFERROR(AVERAGE(F58:F60),"")</f>
        <v/>
      </c>
      <c r="H58" s="487" t="str">
        <f>IFERROR(ROUND(AVERAGE(G58:G60),2),"")</f>
        <v/>
      </c>
      <c r="I58" s="475" t="str">
        <f>IF(H58="","",IF(H58:H60&gt;0.69,"Functioning",IF(H58&gt;0.29,"Functioning At Risk",IF(H58&gt;-1,"Not Functioning"))))</f>
        <v/>
      </c>
    </row>
    <row r="59" spans="1:9" ht="15.6" x14ac:dyDescent="0.3">
      <c r="A59" s="560"/>
      <c r="B59" s="564"/>
      <c r="C59" s="262" t="s">
        <v>271</v>
      </c>
      <c r="D59" s="196"/>
      <c r="E59" s="199"/>
      <c r="F59" s="265" t="str">
        <f>IF(E59="","",  IF(E59&gt;0.95,0,IF(E59&lt;=0.02,1,ROUND(IF(E59&gt;0.26, 'Reference Curves'!$C$45*E59+'Reference Curves'!$C$46, IF(E59&lt;0.05, 'Reference Curves'!$E$45*E59+'Reference Curves'!$E$46, 'Reference Curves'!$D$45*E59+'Reference Curves'!$D$46)),2))) )</f>
        <v/>
      </c>
      <c r="G59" s="488"/>
      <c r="H59" s="488"/>
      <c r="I59" s="476"/>
    </row>
    <row r="60" spans="1:9" ht="15.6" customHeight="1" x14ac:dyDescent="0.3">
      <c r="A60" s="560"/>
      <c r="B60" s="565"/>
      <c r="C60" s="340" t="s">
        <v>302</v>
      </c>
      <c r="D60" s="341"/>
      <c r="E60" s="70"/>
      <c r="F60" s="312" t="str">
        <f>IF(E60="","",   IF(E60&gt;3.22,0, IF(E60&lt;0, "", ROUND('Reference Curves'!$C$74*E60+'Reference Curves'!$C$75,2))))</f>
        <v/>
      </c>
      <c r="G60" s="489"/>
      <c r="H60" s="488"/>
      <c r="I60" s="477"/>
    </row>
    <row r="61" spans="1:9" ht="15.6" x14ac:dyDescent="0.3">
      <c r="A61" s="561" t="s">
        <v>200</v>
      </c>
      <c r="B61" s="557" t="s">
        <v>5</v>
      </c>
      <c r="C61" s="74" t="s">
        <v>6</v>
      </c>
      <c r="D61" s="74"/>
      <c r="E61" s="72"/>
      <c r="F61" s="272" t="str">
        <f>IF(E61="","",ROUND(IF(E61&gt;1.71,0,IF(E61&lt;=1,1,E61*'Reference Curves'!K$13+'Reference Curves'!K$14)),2))</f>
        <v/>
      </c>
      <c r="G61" s="492" t="str">
        <f>IFERROR(AVERAGE(F61:F62),"")</f>
        <v/>
      </c>
      <c r="H61" s="492" t="str">
        <f>IFERROR(ROUND(AVERAGE(G61),2),"")</f>
        <v/>
      </c>
      <c r="I61" s="476" t="str">
        <f>IF(H61="","",IF(H61&gt;0.69,"Functioning",IF(H61&gt;0.29,"Functioning At Risk",IF(H61&gt;-1,"Not Functioning"))))</f>
        <v/>
      </c>
    </row>
    <row r="62" spans="1:9" ht="15.6" customHeight="1" x14ac:dyDescent="0.3">
      <c r="A62" s="562"/>
      <c r="B62" s="558"/>
      <c r="C62" s="75" t="s">
        <v>7</v>
      </c>
      <c r="D62" s="75"/>
      <c r="E62" s="73"/>
      <c r="F62" s="76" t="str">
        <f>IF(E62="","",IF(OR('Quantification Tool'!$B$9="A",'Quantification Tool'!$B$9="Ba",'Quantification Tool'!$B$9="B", 'Quantification Tool'!$B$9="Bc"),IF(E62&lt;1.2,0,IF(E62&gt;=2.2,1,ROUND(IF(E62&lt;1.4,E62*'Reference Curves'!$K$82+'Reference Curves'!$K$83,E62*'Reference Curves'!$L$82+'Reference Curves'!$L$83),2))),IF(OR('Quantification Tool'!$B$9="C",'Quantification Tool'!$B$9="Cb",'Quantification Tool'!$B$9="E"),IF(E62&lt;2,0,IF(E62&gt;=5,1,ROUND(IF(E62&lt;2.4,E62*'Reference Curves'!$L$47+'Reference Curves'!$L$48,E62*'Reference Curves'!$K$47+'Reference Curves'!$K$48),2))))))</f>
        <v/>
      </c>
      <c r="G62" s="493"/>
      <c r="H62" s="493"/>
      <c r="I62" s="477"/>
    </row>
    <row r="63" spans="1:9" ht="15.6" x14ac:dyDescent="0.3">
      <c r="A63" s="507" t="s">
        <v>20</v>
      </c>
      <c r="B63" s="507" t="s">
        <v>21</v>
      </c>
      <c r="C63" s="18" t="s">
        <v>19</v>
      </c>
      <c r="D63" s="77"/>
      <c r="E63" s="72"/>
      <c r="F63" s="78" t="str">
        <f>IF(E63="","",IF(E63&gt;=660,1,IF(E63&lt;=430,ROUND('Reference Curves'!$S$14*E63+'Reference Curves'!$S$15,2),ROUND('Reference Curves'!$T$14*E63+'Reference Curves'!$T$15,2))))</f>
        <v/>
      </c>
      <c r="G63" s="509" t="str">
        <f>IFERROR(AVERAGE(F63:F64),"")</f>
        <v/>
      </c>
      <c r="H63" s="509" t="str">
        <f>IFERROR(ROUND(AVERAGE(G63:G76),2),"")</f>
        <v/>
      </c>
      <c r="I63" s="516" t="str">
        <f>IF(H63="","",IF(H63&gt;0.69,"Functioning",IF(H63&gt;0.29,"Functioning At Risk",IF(H63&gt;-1,"Not Functioning"))))</f>
        <v/>
      </c>
    </row>
    <row r="64" spans="1:9" ht="15.6" customHeight="1" x14ac:dyDescent="0.3">
      <c r="A64" s="511"/>
      <c r="B64" s="508"/>
      <c r="C64" s="17" t="s">
        <v>353</v>
      </c>
      <c r="D64" s="79"/>
      <c r="E64" s="73"/>
      <c r="F64" s="210" t="str">
        <f>IF(E64="","",IF(E64&gt;=28,1,ROUND(IF(E64&lt;=13,'Reference Curves'!$S$47*E64,'Reference Curves'!$T$47*E64+'Reference Curves'!$T$48),2)))</f>
        <v/>
      </c>
      <c r="G64" s="510"/>
      <c r="H64" s="515"/>
      <c r="I64" s="517"/>
    </row>
    <row r="65" spans="1:9" ht="15.6" x14ac:dyDescent="0.3">
      <c r="A65" s="511"/>
      <c r="B65" s="511" t="s">
        <v>196</v>
      </c>
      <c r="C65" s="80" t="s">
        <v>43</v>
      </c>
      <c r="D65" s="80"/>
      <c r="E65" s="199"/>
      <c r="F65" s="160" t="str">
        <f>IF(E65="","",IF(OR(E65="Ex/Ex",E65="Ex/VH",E65="Ex/H",E65="Ex/M",E65="VH/Ex",E65="VH/VH", E65="H/Ex",E65="H/VH"),0, IF(OR(E65="M/Ex"),0.1,IF(OR(E65="VH/H",E65="VH/M",E65="H/H",E65="H/M", E65="M/VH"),0.2, IF(OR(E65="Ex/VL",E65="Ex/L", E65="M/H"),0.3, IF(OR(E65="VH/L",E65="H/L"),0.4, IF(OR(E65="VH/VL",E65="H/VL",E65="M/M"),0.5, IF(OR(E65="M/L",E65="L/Ex"),0.6, IF(OR(E65="M/VL",E65="L/VH", E65="L/H",E65="L/M",E65="L/L",E65="L/VL",LEFT(E65)="V"),1)))))))))</f>
        <v/>
      </c>
      <c r="G65" s="515" t="str">
        <f>IFERROR(AVERAGE(F65:F67),"")</f>
        <v/>
      </c>
      <c r="H65" s="515"/>
      <c r="I65" s="517"/>
    </row>
    <row r="66" spans="1:9" ht="15.6" x14ac:dyDescent="0.3">
      <c r="A66" s="511"/>
      <c r="B66" s="511"/>
      <c r="C66" s="173" t="s">
        <v>79</v>
      </c>
      <c r="D66" s="173"/>
      <c r="E66" s="199"/>
      <c r="F66" s="160" t="str">
        <f>IF(E66="","",ROUND(IF(E66&gt;=75,0,IF(E66&lt;=5,1,IF(E66&gt;10,E66*'Reference Curves'!S$81+'Reference Curves'!S$82,'Reference Curves'!$T$81*E66+'Reference Curves'!$T$82))),2))</f>
        <v/>
      </c>
      <c r="G66" s="515"/>
      <c r="H66" s="515"/>
      <c r="I66" s="517"/>
    </row>
    <row r="67" spans="1:9" ht="15.6" x14ac:dyDescent="0.3">
      <c r="A67" s="511"/>
      <c r="B67" s="508"/>
      <c r="C67" s="176" t="s">
        <v>195</v>
      </c>
      <c r="D67" s="144"/>
      <c r="E67" s="73"/>
      <c r="F67" s="181" t="str">
        <f>IF(E67="","",IF(E67&gt;=50,0,ROUND(E67*'Reference Curves'!$S$112+'Reference Curves'!$S$113,2)))</f>
        <v/>
      </c>
      <c r="G67" s="510"/>
      <c r="H67" s="515"/>
      <c r="I67" s="517"/>
    </row>
    <row r="68" spans="1:9" ht="15.6" x14ac:dyDescent="0.3">
      <c r="A68" s="511"/>
      <c r="B68" s="87" t="s">
        <v>97</v>
      </c>
      <c r="C68" s="17" t="s">
        <v>115</v>
      </c>
      <c r="D68" s="80"/>
      <c r="E68" s="73"/>
      <c r="F68" s="157" t="str">
        <f>IF(OR(E68="",'Quantification Tool'!$B$14=""),"",IF(OR('Quantification Tool'!$B$14="Silt/Clay",'Quantification Tool'!$B$14="Sand",'Quantification Tool'!$B$14="Boulders",'Quantification Tool'!$B$14="Bedrock"),"NA",IF(E68&gt;0.1,1,IF(E68&lt;=0.01,0,ROUND(E68*'Reference Curves'!$S$143+'Reference Curves'!$S$144,2)))))</f>
        <v/>
      </c>
      <c r="G68" s="82" t="str">
        <f>IFERROR(AVERAGE(F68),"")</f>
        <v/>
      </c>
      <c r="H68" s="515"/>
      <c r="I68" s="517"/>
    </row>
    <row r="69" spans="1:9" ht="15.6" x14ac:dyDescent="0.3">
      <c r="A69" s="511"/>
      <c r="B69" s="507" t="s">
        <v>45</v>
      </c>
      <c r="C69" s="77" t="s">
        <v>46</v>
      </c>
      <c r="D69" s="77"/>
      <c r="E69" s="83"/>
      <c r="F69" s="84" t="str">
        <f>IF(E69="","", IF(OR(LEFT('Quantification Tool'!$B$9)="C",'Quantification Tool'!$B$9="E"), IF(OR(E69&lt;=1,E69&gt;=9),0,IF(AND(E69&gt;=3.5,E69&lt;=6),1,IF(E69&lt;3.5, ROUND(E69*'Reference Curves'!$S$243+'Reference Curves'!$S$244,2), ROUND(E69*'Reference Curves'!$T$243+'Reference Curves'!$T$244,2)))),   IF(OR(('Quantification Tool'!$B$9)="A",('Quantification Tool'!$B$9)="B",('Quantification Tool'!$B$9)="Ba"), IF(E69&gt;=6.5,0, IF(E69&lt;=4, 1, ROUND(E69^2*'Reference Curves'!$S$177+E69*'Reference Curves'!$S$178+'Reference Curves'!$S$179,2))), IF('Quantification Tool'!$B$9="Bc",  IF(E69&gt;=8,0, IF(E69&lt;=5, 1, ROUND(E69^2*'Reference Curves'!$S$209+E69*'Reference Curves'!$S$210+'Reference Curves'!$S$211,2)))))))</f>
        <v/>
      </c>
      <c r="G69" s="512" t="str">
        <f>IFERROR(AVERAGE(F69:F72),"")</f>
        <v/>
      </c>
      <c r="H69" s="515"/>
      <c r="I69" s="517"/>
    </row>
    <row r="70" spans="1:9" ht="15.6" x14ac:dyDescent="0.3">
      <c r="A70" s="511"/>
      <c r="B70" s="511"/>
      <c r="C70" s="80" t="s">
        <v>47</v>
      </c>
      <c r="D70" s="80"/>
      <c r="E70" s="81"/>
      <c r="F70" s="85" t="str">
        <f>IF(E70="","", ROUND(  IF(E70&lt;=1.1,0, IF(E70&gt;=3,1, IF(E70&lt;2, E70^2*'Reference Curves'!$S$276+  E70*'Reference Curves'!$S$277 + 'Reference Curves'!$S$278,      E70*'Reference Curves'!$T$277 + 'Reference Curves'!$T$278))),2))</f>
        <v/>
      </c>
      <c r="G70" s="513"/>
      <c r="H70" s="515"/>
      <c r="I70" s="517"/>
    </row>
    <row r="71" spans="1:9" ht="15.6" x14ac:dyDescent="0.3">
      <c r="A71" s="511"/>
      <c r="B71" s="511"/>
      <c r="C71" s="15" t="s">
        <v>173</v>
      </c>
      <c r="D71" s="80"/>
      <c r="E71" s="81"/>
      <c r="F71" s="391" t="str">
        <f>IF(E71="","", IF(OR('Quantification Tool'!$B$9="A",LEFT('Quantification Tool'!$B$9,1)="B"), IF(OR(E71&lt;=20,E71&gt;=90),0,IF(AND(E71&gt;=50,E71&lt;=60),1,IF(E71&lt;50, ROUND(E71*'Reference Curves'!$S$310+'Reference Curves'!$S$311,2),ROUND( E71*'Reference Curves'!$T$310+'Reference Curves'!$T$311,2)))),   IF(OR(LEFT('Quantification Tool'!$B$9)="C",'Quantification Tool'!$B$9="E"), IF(OR(E71&lt;=20,E71&gt;=85),0, IF(AND(E71&lt;=65,E71&gt;=45), 1, IF(E71&lt;45, ROUND(E71*'Reference Curves'!$S$343+'Reference Curves'!$S$344,2),ROUN(E71*'Reference Curves'!$T$343+'Reference Curves'!$T$344,2))))   )  ))</f>
        <v/>
      </c>
      <c r="G71" s="513"/>
      <c r="H71" s="515"/>
      <c r="I71" s="517"/>
    </row>
    <row r="72" spans="1:9" ht="15.6" x14ac:dyDescent="0.3">
      <c r="A72" s="511"/>
      <c r="B72" s="508"/>
      <c r="C72" s="79" t="s">
        <v>136</v>
      </c>
      <c r="D72" s="79"/>
      <c r="E72" s="86"/>
      <c r="F72" s="362" t="str">
        <f>IF(E72="","",IF(E72&gt;=1.6,0,IF(E72&lt;=1,1,ROUND('Reference Curves'!$S$375*E72^3+'Reference Curves'!$S$376*E72^2+'Reference Curves'!$S$377*E72+'Reference Curves'!$S$378,2))))</f>
        <v/>
      </c>
      <c r="G72" s="514"/>
      <c r="H72" s="515"/>
      <c r="I72" s="517"/>
    </row>
    <row r="73" spans="1:9" ht="15.6" x14ac:dyDescent="0.3">
      <c r="A73" s="511"/>
      <c r="B73" s="507" t="s">
        <v>44</v>
      </c>
      <c r="C73" s="16" t="s">
        <v>295</v>
      </c>
      <c r="D73" s="179"/>
      <c r="E73" s="180"/>
      <c r="F73" s="172" t="str">
        <f>IF(E73="","",IF('Quantification Tool'!$B$19="Unconfined Alluvial",IF(E73&gt;=100,1,IF(E73&lt;30,0,ROUND('Reference Curves'!$S$411*E73+'Reference Curves'!$S$412,2))),IF(OR('Quantification Tool'!$B$19="Confined Alluvial",'Quantification Tool'!$B$19="Colluvial/V-Shaped"),(IF(E73&gt;=100,1,IF(E73&lt;60,0,ROUND('Reference Curves'!$T$411*E73+'Reference Curves'!$T$412,2)))))))</f>
        <v/>
      </c>
      <c r="G73" s="512" t="str">
        <f>IFERROR(AVERAGE(F73:F76),"")</f>
        <v/>
      </c>
      <c r="H73" s="515"/>
      <c r="I73" s="517"/>
    </row>
    <row r="74" spans="1:9" ht="15.6" x14ac:dyDescent="0.3">
      <c r="A74" s="511"/>
      <c r="B74" s="511"/>
      <c r="C74" s="145" t="s">
        <v>297</v>
      </c>
      <c r="D74" s="169"/>
      <c r="E74" s="177"/>
      <c r="F74" s="85" t="str">
        <f>IF(E74="","",IF('Quantification Tool'!$B$10="Yes",IF(E74&lt;=50,0,IF(E74&gt;=80,1,ROUND('Reference Curves'!$S$445*E74+'Reference Curves'!$S$446,2))),IF('Quantification Tool'!$B$10="No",IF(E74&gt;=80,0,IF(E74&lt;=50,1,ROUND(E74*'Reference Curves'!$T$445+'Reference Curves'!$T$446,2))))))</f>
        <v/>
      </c>
      <c r="G74" s="513"/>
      <c r="H74" s="515"/>
      <c r="I74" s="517"/>
    </row>
    <row r="75" spans="1:9" ht="15.6" x14ac:dyDescent="0.3">
      <c r="A75" s="511"/>
      <c r="B75" s="519"/>
      <c r="C75" s="145" t="s">
        <v>189</v>
      </c>
      <c r="D75" s="169"/>
      <c r="E75" s="177"/>
      <c r="F75" s="85" t="str">
        <f>IF(E75="","",IF(E75&lt;=50,0,IF(E75&gt;=80,1, ROUND(E75*'Reference Curves'!$S$477+'Reference Curves'!$S$478,2))))</f>
        <v/>
      </c>
      <c r="G75" s="513"/>
      <c r="H75" s="515"/>
      <c r="I75" s="517"/>
    </row>
    <row r="76" spans="1:9" ht="15.6" x14ac:dyDescent="0.3">
      <c r="A76" s="508"/>
      <c r="B76" s="508"/>
      <c r="C76" s="520" t="s">
        <v>377</v>
      </c>
      <c r="D76" s="521"/>
      <c r="E76" s="178"/>
      <c r="F76" s="85" t="str">
        <f>IF(E76="","",IF('Quantification Tool'!$B$10="Yes",IF(E76&lt;=9,0,IF(E76&gt;=14,1,ROUND('Reference Curves'!$S$509*E76+'Reference Curves'!$S$510,2))),"FALSE"))</f>
        <v/>
      </c>
      <c r="G76" s="514"/>
      <c r="H76" s="510"/>
      <c r="I76" s="518"/>
    </row>
    <row r="77" spans="1:9" ht="15.6" x14ac:dyDescent="0.3">
      <c r="A77" s="502" t="s">
        <v>51</v>
      </c>
      <c r="B77" s="313" t="s">
        <v>74</v>
      </c>
      <c r="C77" s="314" t="s">
        <v>272</v>
      </c>
      <c r="D77" s="325"/>
      <c r="E77" s="44"/>
      <c r="F77" s="319" t="str">
        <f>IF(E77="","",  IF(E77&gt;=25,0,IF(E77&lt;=10,1,ROUND(IF(E77&gt;18, 'Reference Curves'!$AA$14*E77+'Reference Curves'!$AA$15, IF(E77&lt;12, 'Reference Curves'!$AC$14*E77+'Reference Curves'!$AC$15, 'Reference Curves'!$AB$14*E77+'Reference Curves'!$AB$15)),2))) )</f>
        <v/>
      </c>
      <c r="G77" s="321" t="str">
        <f t="shared" ref="G77:G78" si="2">IFERROR(AVERAGE(F77),"")</f>
        <v/>
      </c>
      <c r="H77" s="568" t="str">
        <f>IFERROR(ROUND(AVERAGE(G77:G79),2),"")</f>
        <v/>
      </c>
      <c r="I77" s="482" t="str">
        <f>IF(H77="","",IF(H77&gt;0.69,"Functioning",IF(H77&gt;0.29,"Functioning At Risk",IF(H77&gt;-1,"Not Functioning"))))</f>
        <v/>
      </c>
    </row>
    <row r="78" spans="1:9" ht="15.6" x14ac:dyDescent="0.3">
      <c r="A78" s="503"/>
      <c r="B78" s="323" t="s">
        <v>280</v>
      </c>
      <c r="C78" s="314" t="s">
        <v>281</v>
      </c>
      <c r="D78" s="315"/>
      <c r="E78" s="199"/>
      <c r="F78" s="320" t="str">
        <f>IF(E78="","",IF('Quantification Tool'!$B$11="2A",IF(E78&lt;=5.3,0,IF(E78&gt;=8.79,1,ROUND(E78*'Reference Curves'!$AA$50+'Reference Curves'!$AA$51,2))),IF('Quantification Tool'!$B$11=7,IF(E78&lt;=0.8,0,IF(E78&gt;=1.25,1,ROUND(E78*'Reference Curves'!$AC$50+'Reference Curves'!$AC$51,2))),IF(OR('Quantification Tool'!$B$11="2B", 'Quantification Tool'!$B$11="2Bd",'Quantification Tool'!$B$11="2C"),IF(E78&lt;=3.8,0,(IF(E78&gt;=6.24,1,ROUND(E78*'Reference Curves'!$AB$50+'Reference Curves'!$AB$51,2))))))))</f>
        <v/>
      </c>
      <c r="G78" s="321" t="str">
        <f t="shared" si="2"/>
        <v/>
      </c>
      <c r="H78" s="569"/>
      <c r="I78" s="482"/>
    </row>
    <row r="79" spans="1:9" ht="15.6" x14ac:dyDescent="0.3">
      <c r="A79" s="504"/>
      <c r="B79" s="289" t="s">
        <v>293</v>
      </c>
      <c r="C79" s="317" t="s">
        <v>294</v>
      </c>
      <c r="D79" s="318"/>
      <c r="E79" s="44"/>
      <c r="F79" s="320" t="str">
        <f>IF(E79="","",IF('Quantification Tool'!B$11="2A",IF(E79&gt;=12.5,0,IF(E79&lt;=7.5,1,ROUND(E79*'Reference Curves'!$AA$86+'Reference Curves'!$AA$87,2))),IF(OR('Quantification Tool'!B$11="2B",'Quantification Tool'!B$11="2Bd",'Quantification Tool'!B$11="2C"),IF('Quantification Tool'!B$12="North",IF(E79&gt;=18.8,0,IF(E79&lt;=11.3,1,ROUND(E79*'Reference Curves'!$AB$86+'Reference Curves'!$AB$87,2))),IF('Quantification Tool'!B$12="Central",(IF(E79&gt;=37.5,0,IF(E79&lt;=22.5,1,ROUND(E79*'Reference Curves'!$AC$86+'Reference Curves'!$AC$87,2)))),IF(E79&gt;=81.2,0,(IF(E79&lt;=48.7,1,ROUND(E79*'Reference Curves'!$AD$86+'Reference Curves'!$AD$87,2)))))))))</f>
        <v/>
      </c>
      <c r="G79" s="321" t="str">
        <f>IFERROR(AVERAGE(F79),"")</f>
        <v/>
      </c>
      <c r="H79" s="570"/>
      <c r="I79" s="482"/>
    </row>
    <row r="80" spans="1:9" ht="15.6" x14ac:dyDescent="0.3">
      <c r="A80" s="505" t="s">
        <v>52</v>
      </c>
      <c r="B80" s="204" t="s">
        <v>129</v>
      </c>
      <c r="C80" s="203" t="s">
        <v>226</v>
      </c>
      <c r="D80" s="88"/>
      <c r="E80" s="72"/>
      <c r="F80" s="89" t="str">
        <f>IF(E80="","",IF('Quantification Tool'!$B$17="Northern Forest Rivers",IF(E80&lt;=38.2,0,IF(E80&gt;=77,1,ROUND(IF(E80&lt;49, 'Reference Curves'!$AJ$18*E80+'Reference Curves'!$AJ$19, IF(E80&lt;59.8, 'Reference Curves'!$AK$18*E80+'Reference Curves'!$AK$19, 'Reference Curves'!$AL$18*E80+'Reference Curves'!$AL$19)),2))),   IF('Quantification Tool'!$B$17="Northern Forest Streams Riffle-run",IF(E80&lt;40.4,0,IF(E80&gt;=82,1,ROUND(IF(E80&lt;53, 'Reference Curves'!$AM$18*E80+'Reference Curves'!$AM$19, IF(E80&lt;59.8, 'Reference Curves'!$AN$18*E80+'Reference Curves'!$AN$19, 'Reference Curves'!$AO$18*E80+'Reference Curves'!$AO$19) ),2))), IF('Quantification Tool'!$B$17="Northern Forest Streams Glide-pool",IF(E80&lt;=37,0,IF(E80&gt;=76,1,ROUND(IF(E80&lt;51, 'Reference Curves'!$AP$18*E80+'Reference Curves'!$AP$19, IF(E80&lt;65.6, 'Reference Curves'!$AQ$18*E80+'Reference Curves'!$AQ$19, 'Reference Curves'!$AR$18*E80+'Reference Curves'!$AR$19) ),2))), IF('Quantification Tool'!$B$17="Northern Coldwater",IF(E80&lt;19.6,0,IF(E80&gt;=52,1,ROUND(IF(E80&lt;32, 'Reference Curves'!$AS$18*E80+'Reference Curves'!$AS$19, IF(E80&lt;44.4, 'Reference Curves'!$AT$18*E80+'Reference Curves'!$AT$19, 'Reference Curves'!$AU$18*E80+'Reference Curves'!$AU$19) ),2))), IF('Quantification Tool'!$B$17="Southern Forest Streams Riffle-run", IF(E80&lt;24,0,IF(E80&gt;=62,1,ROUND(IF(E80&lt;37, 'Reference Curves'!$AJ$65*E80+'Reference Curves'!$AJ$66, IF(E80&lt;49.6, 'Reference Curves'!$AK$65*E80+'Reference Curves'!$AK$66, 'Reference Curves'!$AL$65*E80+'Reference Curves'!$AL$66)),2))), IF('Quantification Tool'!$B$17="Southern Forest Streams Glide-pool", IF(E80&lt;29.4,0,IF(E80&gt;=65,1,ROUND(IF(E80&lt;43, 'Reference Curves'!$AM$65*E80+'Reference Curves'!$AM$66, IF(E80&lt;56.6, 'Reference Curves'!$AN$65*E80+'Reference Curves'!$AN$66, 'Reference Curves'!$AO$65*E80+'Reference Curves'!$AO$66)),2))), IF('Quantification Tool'!$B$17="Southern Coldwater", IF(E80&lt;29.2,0,IF(E80&gt;=72,1,ROUND(IF(E80&lt;43, 'Reference Curves'!$AP$65*E80+'Reference Curves'!$AP$66, IF(E80&lt;56.8, 'Reference Curves'!$AQ$65*E80+'Reference Curves'!$AQ$66, 'Reference Curves'!$AR$65*E80+'Reference Curves'!$AR$66)),2))), IF('Quantification Tool'!$B$17="Prairie Forest Rivers", IF(E80&lt;20.2,0,IF(E80&gt;=62,1,ROUND(IF(E80&lt;31, 'Reference Curves'!$AJ$110*E80+'Reference Curves'!$AJ$111, IF(E80&lt;41.8, 'Reference Curves'!$AK$110*E80+'Reference Curves'!$AK$111, 'Reference Curves'!$AL$110*E80+'Reference Curves'!$AL$111)),2))), IF('Quantification Tool'!$B$17="Prairie Streams Glide-Pool", IF(E80&lt;27.4,0,IF(E80&gt;=69,1,ROUND(IF(E80&lt;41, 'Reference Curves'!$AM$110*E80+'Reference Curves'!$AM$111, IF(E80&lt;54.6, 'Reference Curves'!$AN$110*E80+'Reference Curves'!$AN$111, 'Reference Curves'!$AO$110*E80+'Reference Curves'!$AO$111)),2))) ))))))))))</f>
        <v/>
      </c>
      <c r="G80" s="205" t="str">
        <f>IFERROR(AVERAGE(F80),"")</f>
        <v/>
      </c>
      <c r="H80" s="481" t="str">
        <f>IFERROR(ROUND(AVERAGE(G80:G81),2),"")</f>
        <v/>
      </c>
      <c r="I80" s="482" t="str">
        <f>IF(H80="","",IF(H80&gt;0.69,"Functioning",IF(H80&gt;0.29,"Functioning At Risk",IF(H80&gt;-1,"Not Functioning"))))</f>
        <v/>
      </c>
    </row>
    <row r="81" spans="1:9" ht="15.6" x14ac:dyDescent="0.3">
      <c r="A81" s="506"/>
      <c r="B81" s="206" t="s">
        <v>70</v>
      </c>
      <c r="C81" s="207" t="s">
        <v>227</v>
      </c>
      <c r="D81" s="208"/>
      <c r="E81" s="13"/>
      <c r="F81" s="89" t="str">
        <f>IF(E81="","",IF('Quantification Tool'!$B$18="Northern Rivers",IF(E81&lt;29,0,IF(E81&gt;=66,1,ROUND(IF(E81&lt;38, 'Reference Curves'!$AJ$156*E81+'Reference Curves'!$AJ$157, IF(E81&lt;47, 'Reference Curves'!$AK$156*E81+'Reference Curves'!$AK$157, 'Reference Curves'!$AL$156*E81+'Reference Curves'!$AL$157)),2))),   IF('Quantification Tool'!$B$18="Northern Streams",IF(E81&lt;35,0,IF(E81&gt;=61,1,ROUND(IF(E81&lt;47, 'Reference Curves'!$AM$156*E81+'Reference Curves'!$AM$157, IF(E81&lt;56, 'Reference Curves'!$AN$156*E81+'Reference Curves'!$AN$157, 'Reference Curves'!$AO$156*E81+'Reference Curves'!$AO$157) ),2))), IF('Quantification Tool'!$B$18="Northern Headwaters",IF(E81&lt;23,0,IF(E81&gt;=68,1,ROUND(IF(E81&lt;42, 'Reference Curves'!$AP$156*E81+'Reference Curves'!$AP$157, IF(E81&lt;56, 'Reference Curves'!$AQ$156*E81+'Reference Curves'!$AQ$157, 'Reference Curves'!$AR$156*E81+'Reference Curves'!$AR$157) ),2))), IF('Quantification Tool'!$B$18="Northern Coldwater",IF(E81&lt;25,0,IF(E81&gt;=60,1,ROUND(IF(E81&lt;35, 'Reference Curves'!$AS$156*E81+'Reference Curves'!$AS$157, IF(E81&lt;35, 'Reference Curves'!$AT$156*E81+'Reference Curves'!$AT$157, 'Reference Curves'!$AU$156*E81+'Reference Curves'!$AU$157) ),2))), IF('Quantification Tool'!$B$18="Southern River", IF(E81&lt;38,0,IF(E81&gt;=71,1,ROUND(IF(E81&lt;49, 'Reference Curves'!$AJ$203*E81+'Reference Curves'!$AJ$204, IF(E81&lt;60, 'Reference Curves'!$AK$203*E81+'Reference Curves'!$AK$204, 'Reference Curves'!$AL$203*E81+'Reference Curves'!$AL$204)),2))), IF('Quantification Tool'!$B$18="Southern Streams", IF(E81&lt;35,0,IF(E81&gt;=66,1,ROUND(IF(E81&lt;50, 'Reference Curves'!$AM$203*E81+'Reference Curves'!$AM$204, IF(E81&lt;59, 'Reference Curves'!$AN$203*E81+'Reference Curves'!$AN$204, 'Reference Curves'!$AO$203*E81+'Reference Curves'!$AO$204)),2))), IF('Quantification Tool'!$B$18="Southern Headwaters", IF(E81&lt;33,0,IF(E81&gt;=74,1,ROUND(IF(E81&lt;55, 'Reference Curves'!$AP$203*E81+'Reference Curves'!$AP$204, IF(E81&lt;62, 'Reference Curves'!$AQ$203*E81+'Reference Curves'!$AQ$204, 'Reference Curves'!$AR$203*E81+'Reference Curves'!$AR$204)),2))), IF('Quantification Tool'!$B$18="Southern Coldwater", IF(E81&lt;37,0,IF(E81&gt;=82,1,ROUND(IF(E81&lt;50, 'Reference Curves'!$AS$203*E81+'Reference Curves'!$AS$204, IF(E81&lt;63, 'Reference Curves'!$AT$203*E81+'Reference Curves'!$AT$204, 'Reference Curves'!$AU$203*E81+'Reference Curves'!$AU$204)),2))), IF('Quantification Tool'!$B$18="Low Gradient", IF(E81&lt;15,0,IF(E81&gt;=70,1,ROUND(IF(E81&lt;42, 'Reference Curves'!$AJ$247*E81+'Reference Curves'!$AJ$248, IF(E81&lt;52, 'Reference Curves'!$AK$247*E81+'Reference Curves'!$AK$248, 'Reference Curves'!$AL$247*E81+'Reference Curves'!$AL$248)),2))) ))))))))))</f>
        <v/>
      </c>
      <c r="G81" s="205" t="str">
        <f>IFERROR(AVERAGE(F81),"")</f>
        <v/>
      </c>
      <c r="H81" s="481"/>
      <c r="I81" s="482"/>
    </row>
    <row r="84" spans="1:9" ht="21" x14ac:dyDescent="0.4">
      <c r="A84" s="28" t="s">
        <v>120</v>
      </c>
      <c r="B84" s="166">
        <v>3</v>
      </c>
      <c r="C84" s="168" t="s">
        <v>186</v>
      </c>
      <c r="D84" s="584"/>
      <c r="E84" s="584"/>
      <c r="F84" s="585"/>
      <c r="G84" s="589" t="s">
        <v>14</v>
      </c>
      <c r="H84" s="590"/>
      <c r="I84" s="591"/>
    </row>
    <row r="85" spans="1:9" ht="15.6" x14ac:dyDescent="0.3">
      <c r="A85" s="34" t="s">
        <v>1</v>
      </c>
      <c r="B85" s="34" t="s">
        <v>2</v>
      </c>
      <c r="C85" s="154" t="s">
        <v>3</v>
      </c>
      <c r="D85" s="155"/>
      <c r="E85" s="34" t="s">
        <v>12</v>
      </c>
      <c r="F85" s="34" t="s">
        <v>13</v>
      </c>
      <c r="G85" s="34" t="s">
        <v>15</v>
      </c>
      <c r="H85" s="34" t="s">
        <v>16</v>
      </c>
      <c r="I85" s="34" t="s">
        <v>16</v>
      </c>
    </row>
    <row r="86" spans="1:9" ht="15.6" x14ac:dyDescent="0.3">
      <c r="A86" s="559" t="s">
        <v>201</v>
      </c>
      <c r="B86" s="563" t="s">
        <v>113</v>
      </c>
      <c r="C86" s="194" t="s">
        <v>169</v>
      </c>
      <c r="D86" s="195"/>
      <c r="E86" s="72"/>
      <c r="F86" s="197" t="str">
        <f>IF(E86="","",IF(E86&gt;=80,0,IF(E86&lt;=40,1,IF(E86&gt;=68,ROUND(E86*'Reference Curves'!$C$14+'Reference Curves'!$C$15,2),ROUND(E86*'Reference Curves'!$D$14+'Reference Curves'!$D$15,2)))))</f>
        <v/>
      </c>
      <c r="G86" s="487" t="str">
        <f>IFERROR(AVERAGE(F86:F88),"")</f>
        <v/>
      </c>
      <c r="H86" s="487" t="str">
        <f>IFERROR(ROUND(AVERAGE(G86:G88),2),"")</f>
        <v/>
      </c>
      <c r="I86" s="475" t="str">
        <f>IF(H86="","",IF(H86:H88&gt;0.69,"Functioning",IF(H86&gt;0.29,"Functioning At Risk",IF(H86&gt;-1,"Not Functioning"))))</f>
        <v/>
      </c>
    </row>
    <row r="87" spans="1:9" ht="15.6" x14ac:dyDescent="0.3">
      <c r="A87" s="560"/>
      <c r="B87" s="564"/>
      <c r="C87" s="262" t="s">
        <v>271</v>
      </c>
      <c r="D87" s="196"/>
      <c r="E87" s="199"/>
      <c r="F87" s="265" t="str">
        <f>IF(E87="","",  IF(E87&gt;0.95,0,IF(E87&lt;=0.02,1,ROUND(IF(E87&gt;0.26, 'Reference Curves'!$C$45*E87+'Reference Curves'!$C$46, IF(E87&lt;0.05, 'Reference Curves'!$E$45*E87+'Reference Curves'!$E$46, 'Reference Curves'!$D$45*E87+'Reference Curves'!$D$46)),2))) )</f>
        <v/>
      </c>
      <c r="G87" s="488"/>
      <c r="H87" s="488"/>
      <c r="I87" s="476"/>
    </row>
    <row r="88" spans="1:9" ht="15.6" customHeight="1" x14ac:dyDescent="0.3">
      <c r="A88" s="560"/>
      <c r="B88" s="565"/>
      <c r="C88" s="340" t="s">
        <v>302</v>
      </c>
      <c r="D88" s="341"/>
      <c r="E88" s="70"/>
      <c r="F88" s="312" t="str">
        <f>IF(E88="","",   IF(E88&gt;3.22,0, IF(E88&lt;0, "", ROUND('Reference Curves'!$C$74*E88+'Reference Curves'!$C$75,2))))</f>
        <v/>
      </c>
      <c r="G88" s="489"/>
      <c r="H88" s="488"/>
      <c r="I88" s="477"/>
    </row>
    <row r="89" spans="1:9" ht="15.6" x14ac:dyDescent="0.3">
      <c r="A89" s="561" t="s">
        <v>200</v>
      </c>
      <c r="B89" s="557" t="s">
        <v>5</v>
      </c>
      <c r="C89" s="74" t="s">
        <v>6</v>
      </c>
      <c r="D89" s="74"/>
      <c r="E89" s="72"/>
      <c r="F89" s="272" t="str">
        <f>IF(E89="","",ROUND(IF(E89&gt;1.71,0,IF(E89&lt;=1,1,E89*'Reference Curves'!K$13+'Reference Curves'!K$14)),2))</f>
        <v/>
      </c>
      <c r="G89" s="492" t="str">
        <f>IFERROR(AVERAGE(F89:F90),"")</f>
        <v/>
      </c>
      <c r="H89" s="492" t="str">
        <f>IFERROR(ROUND(AVERAGE(G89),2),"")</f>
        <v/>
      </c>
      <c r="I89" s="476" t="str">
        <f>IF(H89="","",IF(H89&gt;0.69,"Functioning",IF(H89&gt;0.29,"Functioning At Risk",IF(H89&gt;-1,"Not Functioning"))))</f>
        <v/>
      </c>
    </row>
    <row r="90" spans="1:9" ht="15.6" customHeight="1" x14ac:dyDescent="0.3">
      <c r="A90" s="562"/>
      <c r="B90" s="558"/>
      <c r="C90" s="75" t="s">
        <v>7</v>
      </c>
      <c r="D90" s="75"/>
      <c r="E90" s="73"/>
      <c r="F90" s="76" t="str">
        <f>IF(E90="","",IF(OR('Quantification Tool'!$B$9="A",'Quantification Tool'!$B$9="Ba",'Quantification Tool'!$B$9="B", 'Quantification Tool'!$B$9="Bc"),IF(E90&lt;1.2,0,IF(E90&gt;=2.2,1,ROUND(IF(E90&lt;1.4,E90*'Reference Curves'!$K$82+'Reference Curves'!$K$83,E90*'Reference Curves'!$L$82+'Reference Curves'!$L$83),2))),IF(OR('Quantification Tool'!$B$9="C",'Quantification Tool'!$B$9="Cb",'Quantification Tool'!$B$9="E"),IF(E90&lt;2,0,IF(E90&gt;=5,1,ROUND(IF(E90&lt;2.4,E90*'Reference Curves'!$L$47+'Reference Curves'!$L$48,E90*'Reference Curves'!$K$47+'Reference Curves'!$K$48),2))))))</f>
        <v/>
      </c>
      <c r="G90" s="493"/>
      <c r="H90" s="493"/>
      <c r="I90" s="477"/>
    </row>
    <row r="91" spans="1:9" ht="15.6" x14ac:dyDescent="0.3">
      <c r="A91" s="507" t="s">
        <v>20</v>
      </c>
      <c r="B91" s="507" t="s">
        <v>21</v>
      </c>
      <c r="C91" s="18" t="s">
        <v>19</v>
      </c>
      <c r="D91" s="77"/>
      <c r="E91" s="72"/>
      <c r="F91" s="78" t="str">
        <f>IF(E91="","",IF(E91&gt;=660,1,IF(E91&lt;=430,ROUND('Reference Curves'!$S$14*E91+'Reference Curves'!$S$15,2),ROUND('Reference Curves'!$T$14*E91+'Reference Curves'!$T$15,2))))</f>
        <v/>
      </c>
      <c r="G91" s="509" t="str">
        <f>IFERROR(AVERAGE(F91:F92),"")</f>
        <v/>
      </c>
      <c r="H91" s="509" t="str">
        <f>IFERROR(ROUND(AVERAGE(G91:G104),2),"")</f>
        <v/>
      </c>
      <c r="I91" s="516" t="str">
        <f>IF(H91="","",IF(H91&gt;0.69,"Functioning",IF(H91&gt;0.29,"Functioning At Risk",IF(H91&gt;-1,"Not Functioning"))))</f>
        <v/>
      </c>
    </row>
    <row r="92" spans="1:9" ht="15.6" x14ac:dyDescent="0.3">
      <c r="A92" s="511"/>
      <c r="B92" s="508"/>
      <c r="C92" s="17" t="s">
        <v>353</v>
      </c>
      <c r="D92" s="79"/>
      <c r="E92" s="73"/>
      <c r="F92" s="210" t="str">
        <f>IF(E92="","",IF(E92&gt;=28,1,ROUND(IF(E92&lt;=13,'Reference Curves'!$S$47*E92,'Reference Curves'!$T$47*E92+'Reference Curves'!$T$48),2)))</f>
        <v/>
      </c>
      <c r="G92" s="510"/>
      <c r="H92" s="515"/>
      <c r="I92" s="517"/>
    </row>
    <row r="93" spans="1:9" ht="15.6" x14ac:dyDescent="0.3">
      <c r="A93" s="511"/>
      <c r="B93" s="511" t="s">
        <v>196</v>
      </c>
      <c r="C93" s="80" t="s">
        <v>43</v>
      </c>
      <c r="D93" s="80"/>
      <c r="E93" s="326"/>
      <c r="F93" s="160" t="str">
        <f>IF(E93="","",IF(OR(E93="Ex/Ex",E93="Ex/VH",E93="Ex/H",E93="Ex/M",E93="VH/Ex",E93="VH/VH", E93="H/Ex",E93="H/VH"),0, IF(OR(E93="M/Ex"),0.1,IF(OR(E93="VH/H",E93="VH/M",E93="H/H",E93="H/M", E93="M/VH"),0.2, IF(OR(E93="Ex/VL",E93="Ex/L", E93="M/H"),0.3, IF(OR(E93="VH/L",E93="H/L"),0.4, IF(OR(E93="VH/VL",E93="H/VL",E93="M/M"),0.5, IF(OR(E93="M/L",E93="L/Ex"),0.6, IF(OR(E93="M/VL",E93="L/VH", E93="L/H",E93="L/M",E93="L/L",E93="L/VL",LEFT(E93)="V"),1)))))))))</f>
        <v/>
      </c>
      <c r="G93" s="515" t="str">
        <f>IFERROR(AVERAGE(F93:F95),"")</f>
        <v/>
      </c>
      <c r="H93" s="515"/>
      <c r="I93" s="517"/>
    </row>
    <row r="94" spans="1:9" ht="15.6" x14ac:dyDescent="0.3">
      <c r="A94" s="511"/>
      <c r="B94" s="511"/>
      <c r="C94" s="173" t="s">
        <v>79</v>
      </c>
      <c r="D94" s="173"/>
      <c r="E94" s="199"/>
      <c r="F94" s="160" t="str">
        <f>IF(E94="","",ROUND(IF(E94&gt;=75,0,IF(E94&lt;=5,1,IF(E94&gt;10,E94*'Reference Curves'!S$81+'Reference Curves'!S$82,'Reference Curves'!$T$81*E94+'Reference Curves'!$T$82))),2))</f>
        <v/>
      </c>
      <c r="G94" s="515"/>
      <c r="H94" s="515"/>
      <c r="I94" s="517"/>
    </row>
    <row r="95" spans="1:9" ht="15.6" x14ac:dyDescent="0.3">
      <c r="A95" s="511"/>
      <c r="B95" s="508"/>
      <c r="C95" s="176" t="s">
        <v>195</v>
      </c>
      <c r="D95" s="144"/>
      <c r="E95" s="73"/>
      <c r="F95" s="181" t="str">
        <f>IF(E95="","",IF(E95&gt;=50,0,ROUND(E95*'Reference Curves'!$S$112+'Reference Curves'!$S$113,2)))</f>
        <v/>
      </c>
      <c r="G95" s="510"/>
      <c r="H95" s="515"/>
      <c r="I95" s="517"/>
    </row>
    <row r="96" spans="1:9" ht="15.6" x14ac:dyDescent="0.3">
      <c r="A96" s="511"/>
      <c r="B96" s="87" t="s">
        <v>97</v>
      </c>
      <c r="C96" s="17" t="s">
        <v>115</v>
      </c>
      <c r="D96" s="80"/>
      <c r="E96" s="73"/>
      <c r="F96" s="157" t="str">
        <f>IF(OR(E96="",'Quantification Tool'!$B$14=""),"",IF(OR('Quantification Tool'!$B$14="Silt/Clay",'Quantification Tool'!$B$14="Sand",'Quantification Tool'!$B$14="Boulders",'Quantification Tool'!$B$14="Bedrock"),"NA",IF(E96&gt;0.1,1,IF(E96&lt;=0.01,0,ROUND(E96*'Reference Curves'!$S$143+'Reference Curves'!$S$144,2)))))</f>
        <v/>
      </c>
      <c r="G96" s="82" t="str">
        <f>IFERROR(AVERAGE(F96),"")</f>
        <v/>
      </c>
      <c r="H96" s="515"/>
      <c r="I96" s="517"/>
    </row>
    <row r="97" spans="1:9" ht="15.6" x14ac:dyDescent="0.3">
      <c r="A97" s="511"/>
      <c r="B97" s="507" t="s">
        <v>45</v>
      </c>
      <c r="C97" s="77" t="s">
        <v>46</v>
      </c>
      <c r="D97" s="77"/>
      <c r="E97" s="83"/>
      <c r="F97" s="84" t="str">
        <f>IF(E97="","", IF(OR(LEFT('Quantification Tool'!$B$9)="C",'Quantification Tool'!$B$9="E"), IF(OR(E97&lt;=1,E97&gt;=9),0,IF(AND(E97&gt;=3.5,E97&lt;=6),1,IF(E97&lt;3.5, ROUND(E97*'Reference Curves'!$S$243+'Reference Curves'!$S$244,2), ROUND(E97*'Reference Curves'!$T$243+'Reference Curves'!$T$244,2)))),   IF(OR(('Quantification Tool'!$B$9)="A",('Quantification Tool'!$B$9)="B",('Quantification Tool'!$B$9)="Ba"), IF(E97&gt;=6.5,0, IF(E97&lt;=4, 1, ROUND(E97^2*'Reference Curves'!$S$177+E97*'Reference Curves'!$S$178+'Reference Curves'!$S$179,2))), IF('Quantification Tool'!$B$9="Bc",  IF(E97&gt;=8,0, IF(E97&lt;=5, 1, ROUND(E97^2*'Reference Curves'!$S$209+E97*'Reference Curves'!$S$210+'Reference Curves'!$S$211,2)))))))</f>
        <v/>
      </c>
      <c r="G97" s="512" t="str">
        <f>IFERROR(AVERAGE(F97:F100),"")</f>
        <v/>
      </c>
      <c r="H97" s="515"/>
      <c r="I97" s="517"/>
    </row>
    <row r="98" spans="1:9" ht="15.6" x14ac:dyDescent="0.3">
      <c r="A98" s="511"/>
      <c r="B98" s="511"/>
      <c r="C98" s="80" t="s">
        <v>47</v>
      </c>
      <c r="D98" s="80"/>
      <c r="E98" s="81"/>
      <c r="F98" s="85" t="str">
        <f>IF(E98="","", ROUND(  IF(E98&lt;=1.1,0, IF(E98&gt;=3,1, IF(E98&lt;2, E98^2*'Reference Curves'!$S$276+  E98*'Reference Curves'!$S$277 + 'Reference Curves'!$S$278,     E98*'Reference Curves'!$T$277 + 'Reference Curves'!$T$278))),2))</f>
        <v/>
      </c>
      <c r="G98" s="513"/>
      <c r="H98" s="515"/>
      <c r="I98" s="517"/>
    </row>
    <row r="99" spans="1:9" ht="15.6" x14ac:dyDescent="0.3">
      <c r="A99" s="511"/>
      <c r="B99" s="511"/>
      <c r="C99" s="15" t="s">
        <v>173</v>
      </c>
      <c r="D99" s="80"/>
      <c r="E99" s="81"/>
      <c r="F99" s="391" t="str">
        <f>IF(E99="","", IF(OR('Quantification Tool'!$B$9="A",LEFT('Quantification Tool'!$B$9,1)="B"), IF(OR(E99&lt;=20,E99&gt;=90),0,IF(AND(E99&gt;=50,E99&lt;=60),1,IF(E99&lt;50, ROUND(E99*'Reference Curves'!$S$310+'Reference Curves'!$S$311,2),ROUND( E99*'Reference Curves'!$T$310+'Reference Curves'!$T$311,2)))),   IF(OR(LEFT('Quantification Tool'!$B$9)="C",'Quantification Tool'!$B$9="E"), IF(OR(E99&lt;=20,E99&gt;=85),0, IF(AND(E99&lt;=65,E99&gt;=45), 1, IF(E99&lt;45, ROUND(E99*'Reference Curves'!$S$343+'Reference Curves'!$S$344,2),ROUN(E99*'Reference Curves'!$T$343+'Reference Curves'!$T$344,2))))   )  ))</f>
        <v/>
      </c>
      <c r="G99" s="513"/>
      <c r="H99" s="515"/>
      <c r="I99" s="517"/>
    </row>
    <row r="100" spans="1:9" ht="15.6" x14ac:dyDescent="0.3">
      <c r="A100" s="511"/>
      <c r="B100" s="508"/>
      <c r="C100" s="79" t="s">
        <v>136</v>
      </c>
      <c r="D100" s="79"/>
      <c r="E100" s="86"/>
      <c r="F100" s="362" t="str">
        <f>IF(E100="","",IF(E100&gt;=1.6,0,IF(E100&lt;=1,1,ROUND('Reference Curves'!$S$375*E100^3+'Reference Curves'!$S$376*E100^2+'Reference Curves'!$S$377*E100+'Reference Curves'!$S$378,2))))</f>
        <v/>
      </c>
      <c r="G100" s="514"/>
      <c r="H100" s="515"/>
      <c r="I100" s="517"/>
    </row>
    <row r="101" spans="1:9" ht="15.6" x14ac:dyDescent="0.3">
      <c r="A101" s="511"/>
      <c r="B101" s="507" t="s">
        <v>44</v>
      </c>
      <c r="C101" s="16" t="s">
        <v>295</v>
      </c>
      <c r="D101" s="179"/>
      <c r="E101" s="180"/>
      <c r="F101" s="172" t="str">
        <f>IF(E101="","",IF('Quantification Tool'!$B$19="Unconfined Alluvial",IF(E101&gt;=100,1,IF(E101&lt;30,0,ROUND('Reference Curves'!$S$411*E101+'Reference Curves'!$S$412,2))),IF(OR('Quantification Tool'!$B$19="Confined Alluvial",'Quantification Tool'!$B$19="Colluvial/V-Shaped"),(IF(E101&gt;=100,1,IF(E101&lt;60,0,ROUND('Reference Curves'!$T$411*E101+'Reference Curves'!$T$412,2)))))))</f>
        <v/>
      </c>
      <c r="G101" s="512" t="str">
        <f>IFERROR(AVERAGE(F101:F104),"")</f>
        <v/>
      </c>
      <c r="H101" s="515"/>
      <c r="I101" s="517"/>
    </row>
    <row r="102" spans="1:9" ht="15.6" x14ac:dyDescent="0.3">
      <c r="A102" s="511"/>
      <c r="B102" s="511"/>
      <c r="C102" s="145" t="s">
        <v>297</v>
      </c>
      <c r="D102" s="169"/>
      <c r="E102" s="177"/>
      <c r="F102" s="85" t="str">
        <f>IF(E102="","",IF('Quantification Tool'!$B$10="Yes",IF(E102&lt;=50,0,IF(E102&gt;=80,1,ROUND('Reference Curves'!$S$445*E102+'Reference Curves'!$S$446,2))),IF('Quantification Tool'!$B$10="No",IF(E102&gt;=80,0,IF(E102&lt;=50,1,ROUND(E102*'Reference Curves'!$T$445+'Reference Curves'!$T$446,2))))))</f>
        <v/>
      </c>
      <c r="G102" s="513"/>
      <c r="H102" s="515"/>
      <c r="I102" s="517"/>
    </row>
    <row r="103" spans="1:9" ht="15.6" x14ac:dyDescent="0.3">
      <c r="A103" s="511"/>
      <c r="B103" s="519"/>
      <c r="C103" s="145" t="s">
        <v>189</v>
      </c>
      <c r="D103" s="169"/>
      <c r="E103" s="177"/>
      <c r="F103" s="85" t="str">
        <f>IF(E103="","",IF(E103&lt;=50,0,IF(E103&gt;=80,1, ROUND(E103*'Reference Curves'!$S$477+'Reference Curves'!$S$478,2))))</f>
        <v/>
      </c>
      <c r="G103" s="513"/>
      <c r="H103" s="515"/>
      <c r="I103" s="517"/>
    </row>
    <row r="104" spans="1:9" ht="15.6" x14ac:dyDescent="0.3">
      <c r="A104" s="508"/>
      <c r="B104" s="508"/>
      <c r="C104" s="520" t="s">
        <v>377</v>
      </c>
      <c r="D104" s="521"/>
      <c r="E104" s="178"/>
      <c r="F104" s="85" t="str">
        <f>IF(E104="","",IF('Quantification Tool'!$B$10="Yes",IF(E104&lt;=9,0,IF(E104&gt;=14,1,ROUND('Reference Curves'!$S$509*E104+'Reference Curves'!$S$510,2))),"FALSE"))</f>
        <v/>
      </c>
      <c r="G104" s="514"/>
      <c r="H104" s="510"/>
      <c r="I104" s="518"/>
    </row>
    <row r="105" spans="1:9" ht="15.6" x14ac:dyDescent="0.3">
      <c r="A105" s="502" t="s">
        <v>51</v>
      </c>
      <c r="B105" s="313" t="s">
        <v>74</v>
      </c>
      <c r="C105" s="314" t="s">
        <v>272</v>
      </c>
      <c r="D105" s="325"/>
      <c r="E105" s="44"/>
      <c r="F105" s="319" t="str">
        <f>IF(E105="","",  IF(E105&gt;=25,0,IF(E105&lt;=10,1,ROUND(IF(E105&gt;18, 'Reference Curves'!$AA$14*E105+'Reference Curves'!$AA$15, IF(E105&lt;12, 'Reference Curves'!$AC$14*E105+'Reference Curves'!$AC$15, 'Reference Curves'!$AB$14*E105+'Reference Curves'!$AB$15)),2))) )</f>
        <v/>
      </c>
      <c r="G105" s="321" t="str">
        <f t="shared" ref="G105:G106" si="3">IFERROR(AVERAGE(F105),"")</f>
        <v/>
      </c>
      <c r="H105" s="568" t="str">
        <f>IFERROR(ROUND(AVERAGE(G105:G107),2),"")</f>
        <v/>
      </c>
      <c r="I105" s="482" t="str">
        <f>IF(H105="","",IF(H105&gt;0.69,"Functioning",IF(H105&gt;0.29,"Functioning At Risk",IF(H105&gt;-1,"Not Functioning"))))</f>
        <v/>
      </c>
    </row>
    <row r="106" spans="1:9" ht="15.6" x14ac:dyDescent="0.3">
      <c r="A106" s="503"/>
      <c r="B106" s="323" t="s">
        <v>280</v>
      </c>
      <c r="C106" s="314" t="s">
        <v>281</v>
      </c>
      <c r="D106" s="315"/>
      <c r="E106" s="199"/>
      <c r="F106" s="320" t="str">
        <f>IF(E106="","",IF('Quantification Tool'!$B$11="2A",IF(E106&lt;=5.3,0,IF(E106&gt;=8.79,1,ROUND(E106*'Reference Curves'!$AA$50+'Reference Curves'!$AA$51,2))),IF('Quantification Tool'!$B$11=7,IF(E106&lt;=0.8,0,IF(E106&gt;=1.25,1,ROUND(E106*'Reference Curves'!$AC$50+'Reference Curves'!$AC$51,2))),IF(OR('Quantification Tool'!$B$11="2B", 'Quantification Tool'!$B$11="2Bd",'Quantification Tool'!$B$11="2C"),IF(E106&lt;=3.8,0,(IF(E106&gt;=6.24,1,ROUND(E106*'Reference Curves'!$AB$50+'Reference Curves'!$AB$51,2))))))))</f>
        <v/>
      </c>
      <c r="G106" s="321" t="str">
        <f t="shared" si="3"/>
        <v/>
      </c>
      <c r="H106" s="569"/>
      <c r="I106" s="482"/>
    </row>
    <row r="107" spans="1:9" ht="15.6" x14ac:dyDescent="0.3">
      <c r="A107" s="504"/>
      <c r="B107" s="289" t="s">
        <v>293</v>
      </c>
      <c r="C107" s="317" t="s">
        <v>294</v>
      </c>
      <c r="D107" s="318"/>
      <c r="E107" s="44"/>
      <c r="F107" s="320" t="str">
        <f>IF(E107="","",IF('Quantification Tool'!B$11="2A",IF(E107&gt;=12.5,0,IF(E107&lt;=7.5,1,ROUND(E107*'Reference Curves'!$AA$86+'Reference Curves'!$AA$87,2))),IF(OR('Quantification Tool'!B$11="2B",'Quantification Tool'!B$11="2Bd",'Quantification Tool'!B$11="2C"),IF('Quantification Tool'!B$12="North",IF(E107&gt;=18.8,0,IF(E107&lt;=11.3,1,ROUND(E107*'Reference Curves'!$AB$86+'Reference Curves'!$AB$87,2))),IF('Quantification Tool'!B$12="Central",(IF(E107&gt;=37.5,0,IF(E107&lt;=22.5,1,ROUND(E107*'Reference Curves'!$AC$86+'Reference Curves'!$AC$87,2)))),IF(E107&gt;=81.2,0,(IF(E107&lt;=48.7,1,ROUND(E107*'Reference Curves'!$AD$86+'Reference Curves'!$AD$87,2)))))))))</f>
        <v/>
      </c>
      <c r="G107" s="321" t="str">
        <f>IFERROR(AVERAGE(F107),"")</f>
        <v/>
      </c>
      <c r="H107" s="570"/>
      <c r="I107" s="482"/>
    </row>
    <row r="108" spans="1:9" ht="15.6" x14ac:dyDescent="0.3">
      <c r="A108" s="505" t="s">
        <v>52</v>
      </c>
      <c r="B108" s="204" t="s">
        <v>129</v>
      </c>
      <c r="C108" s="203" t="s">
        <v>226</v>
      </c>
      <c r="D108" s="88"/>
      <c r="E108" s="72"/>
      <c r="F108" s="89" t="str">
        <f>IF(E108="","",IF('Quantification Tool'!$B$17="Northern Forest Rivers",IF(E108&lt;=38.2,0,IF(E108&gt;=77,1,ROUND(IF(E108&lt;49, 'Reference Curves'!$AJ$18*E108+'Reference Curves'!$AJ$19, IF(E108&lt;59.8, 'Reference Curves'!$AK$18*E108+'Reference Curves'!$AK$19, 'Reference Curves'!$AL$18*E108+'Reference Curves'!$AL$19)),2))),   IF('Quantification Tool'!$B$17="Northern Forest Streams Riffle-run",IF(E108&lt;40.4,0,IF(E108&gt;=82,1,ROUND(IF(E108&lt;53, 'Reference Curves'!$AM$18*E108+'Reference Curves'!$AM$19, IF(E108&lt;59.8, 'Reference Curves'!$AN$18*E108+'Reference Curves'!$AN$19, 'Reference Curves'!$AO$18*E108+'Reference Curves'!$AO$19) ),2))), IF('Quantification Tool'!$B$17="Northern Forest Streams Glide-pool",IF(E108&lt;=37,0,IF(E108&gt;=76,1,ROUND(IF(E108&lt;51, 'Reference Curves'!$AP$18*E108+'Reference Curves'!$AP$19, IF(E108&lt;65.6, 'Reference Curves'!$AQ$18*E108+'Reference Curves'!$AQ$19, 'Reference Curves'!$AR$18*E108+'Reference Curves'!$AR$19) ),2))), IF('Quantification Tool'!$B$17="Northern Coldwater",IF(E108&lt;19.6,0,IF(E108&gt;=52,1,ROUND(IF(E108&lt;32, 'Reference Curves'!$AS$18*E108+'Reference Curves'!$AS$19, IF(E108&lt;44.4, 'Reference Curves'!$AT$18*E108+'Reference Curves'!$AT$19, 'Reference Curves'!$AU$18*E108+'Reference Curves'!$AU$19) ),2))), IF('Quantification Tool'!$B$17="Southern Forest Streams Riffle-run", IF(E108&lt;24,0,IF(E108&gt;=62,1,ROUND(IF(E108&lt;37, 'Reference Curves'!$AJ$65*E108+'Reference Curves'!$AJ$66, IF(E108&lt;49.6, 'Reference Curves'!$AK$65*E108+'Reference Curves'!$AK$66, 'Reference Curves'!$AL$65*E108+'Reference Curves'!$AL$66)),2))), IF('Quantification Tool'!$B$17="Southern Forest Streams Glide-pool", IF(E108&lt;29.4,0,IF(E108&gt;=65,1,ROUND(IF(E108&lt;43, 'Reference Curves'!$AM$65*E108+'Reference Curves'!$AM$66, IF(E108&lt;56.6, 'Reference Curves'!$AN$65*E108+'Reference Curves'!$AN$66, 'Reference Curves'!$AO$65*E108+'Reference Curves'!$AO$66)),2))), IF('Quantification Tool'!$B$17="Southern Coldwater", IF(E108&lt;29.2,0,IF(E108&gt;=72,1,ROUND(IF(E108&lt;43, 'Reference Curves'!$AP$65*E108+'Reference Curves'!$AP$66, IF(E108&lt;56.8, 'Reference Curves'!$AQ$65*E108+'Reference Curves'!$AQ$66, 'Reference Curves'!$AR$65*E108+'Reference Curves'!$AR$66)),2))), IF('Quantification Tool'!$B$17="Prairie Forest Rivers", IF(E108&lt;20.2,0,IF(E108&gt;=62,1,ROUND(IF(E108&lt;31, 'Reference Curves'!$AJ$110*E108+'Reference Curves'!$AJ$111, IF(E108&lt;41.8, 'Reference Curves'!$AK$110*E108+'Reference Curves'!$AK$111, 'Reference Curves'!$AL$110*E108+'Reference Curves'!$AL$111)),2))), IF('Quantification Tool'!$B$17="Prairie Streams Glide-Pool", IF(E108&lt;27.4,0,IF(E108&gt;=69,1,ROUND(IF(E108&lt;41, 'Reference Curves'!$AM$110*E108+'Reference Curves'!$AM$111, IF(E108&lt;54.6, 'Reference Curves'!$AN$110*E108+'Reference Curves'!$AN$111, 'Reference Curves'!$AO$110*E108+'Reference Curves'!$AO$111)),2))) ))))))))))</f>
        <v/>
      </c>
      <c r="G108" s="205" t="str">
        <f>IFERROR(AVERAGE(F108),"")</f>
        <v/>
      </c>
      <c r="H108" s="481" t="str">
        <f>IFERROR(ROUND(AVERAGE(G108:G109),2),"")</f>
        <v/>
      </c>
      <c r="I108" s="482" t="str">
        <f>IF(H108="","",IF(H108&gt;0.69,"Functioning",IF(H108&gt;0.29,"Functioning At Risk",IF(H108&gt;-1,"Not Functioning"))))</f>
        <v/>
      </c>
    </row>
    <row r="109" spans="1:9" ht="15.6" x14ac:dyDescent="0.3">
      <c r="A109" s="506"/>
      <c r="B109" s="206" t="s">
        <v>70</v>
      </c>
      <c r="C109" s="207" t="s">
        <v>227</v>
      </c>
      <c r="D109" s="208"/>
      <c r="E109" s="13"/>
      <c r="F109" s="89" t="str">
        <f>IF(E109="","",IF('Quantification Tool'!$B$18="Northern Rivers",IF(E109&lt;29,0,IF(E109&gt;=66,1,ROUND(IF(E109&lt;38, 'Reference Curves'!$AJ$156*E109+'Reference Curves'!$AJ$157, IF(E109&lt;47, 'Reference Curves'!$AK$156*E109+'Reference Curves'!$AK$157, 'Reference Curves'!$AL$156*E109+'Reference Curves'!$AL$157)),2))),   IF('Quantification Tool'!$B$18="Northern Streams",IF(E109&lt;35,0,IF(E109&gt;=61,1,ROUND(IF(E109&lt;47, 'Reference Curves'!$AM$156*E109+'Reference Curves'!$AM$157, IF(E109&lt;56, 'Reference Curves'!$AN$156*E109+'Reference Curves'!$AN$157, 'Reference Curves'!$AO$156*E109+'Reference Curves'!$AO$157) ),2))), IF('Quantification Tool'!$B$18="Northern Headwaters",IF(E109&lt;23,0,IF(E109&gt;=68,1,ROUND(IF(E109&lt;42, 'Reference Curves'!$AP$156*E109+'Reference Curves'!$AP$157, IF(E109&lt;56, 'Reference Curves'!$AQ$156*E109+'Reference Curves'!$AQ$157, 'Reference Curves'!$AR$156*E109+'Reference Curves'!$AR$157) ),2))), IF('Quantification Tool'!$B$18="Northern Coldwater",IF(E109&lt;25,0,IF(E109&gt;=60,1,ROUND(IF(E109&lt;35, 'Reference Curves'!$AS$156*E109+'Reference Curves'!$AS$157, IF(E109&lt;35, 'Reference Curves'!$AT$156*E109+'Reference Curves'!$AT$157, 'Reference Curves'!$AU$156*E109+'Reference Curves'!$AU$157) ),2))), IF('Quantification Tool'!$B$18="Southern River", IF(E109&lt;38,0,IF(E109&gt;=71,1,ROUND(IF(E109&lt;49, 'Reference Curves'!$AJ$203*E109+'Reference Curves'!$AJ$204, IF(E109&lt;60, 'Reference Curves'!$AK$203*E109+'Reference Curves'!$AK$204, 'Reference Curves'!$AL$203*E109+'Reference Curves'!$AL$204)),2))), IF('Quantification Tool'!$B$18="Southern Streams", IF(E109&lt;35,0,IF(E109&gt;=66,1,ROUND(IF(E109&lt;50, 'Reference Curves'!$AM$203*E109+'Reference Curves'!$AM$204, IF(E109&lt;59, 'Reference Curves'!$AN$203*E109+'Reference Curves'!$AN$204, 'Reference Curves'!$AO$203*E109+'Reference Curves'!$AO$204)),2))), IF('Quantification Tool'!$B$18="Southern Headwaters", IF(E109&lt;33,0,IF(E109&gt;=74,1,ROUND(IF(E109&lt;55, 'Reference Curves'!$AP$203*E109+'Reference Curves'!$AP$204, IF(E109&lt;62, 'Reference Curves'!$AQ$203*E109+'Reference Curves'!$AQ$204, 'Reference Curves'!$AR$203*E109+'Reference Curves'!$AR$204)),2))), IF('Quantification Tool'!$B$18="Southern Coldwater", IF(E109&lt;37,0,IF(E109&gt;=82,1,ROUND(IF(E109&lt;50, 'Reference Curves'!$AS$203*E109+'Reference Curves'!$AS$204, IF(E109&lt;63, 'Reference Curves'!$AT$203*E109+'Reference Curves'!$AT$204, 'Reference Curves'!$AU$203*E109+'Reference Curves'!$AU$204)),2))), IF('Quantification Tool'!$B$18="Low Gradient", IF(E109&lt;15,0,IF(E109&gt;=70,1,ROUND(IF(E109&lt;42, 'Reference Curves'!$AJ$247*E109+'Reference Curves'!$AJ$248, IF(E109&lt;52, 'Reference Curves'!$AK$247*E109+'Reference Curves'!$AK$248, 'Reference Curves'!$AL$247*E109+'Reference Curves'!$AL$248)),2))) ))))))))))</f>
        <v/>
      </c>
      <c r="G109" s="205" t="str">
        <f>IFERROR(AVERAGE(F109),"")</f>
        <v/>
      </c>
      <c r="H109" s="481"/>
      <c r="I109" s="482"/>
    </row>
    <row r="112" spans="1:9" ht="21" x14ac:dyDescent="0.4">
      <c r="A112" s="28" t="s">
        <v>120</v>
      </c>
      <c r="B112" s="166">
        <v>4</v>
      </c>
      <c r="C112" s="168" t="s">
        <v>186</v>
      </c>
      <c r="D112" s="584"/>
      <c r="E112" s="584"/>
      <c r="F112" s="585"/>
      <c r="G112" s="589" t="s">
        <v>14</v>
      </c>
      <c r="H112" s="590"/>
      <c r="I112" s="591"/>
    </row>
    <row r="113" spans="1:9" ht="15.6" x14ac:dyDescent="0.3">
      <c r="A113" s="34" t="s">
        <v>1</v>
      </c>
      <c r="B113" s="34" t="s">
        <v>2</v>
      </c>
      <c r="C113" s="154" t="s">
        <v>3</v>
      </c>
      <c r="D113" s="155"/>
      <c r="E113" s="34" t="s">
        <v>12</v>
      </c>
      <c r="F113" s="34" t="s">
        <v>13</v>
      </c>
      <c r="G113" s="34" t="s">
        <v>15</v>
      </c>
      <c r="H113" s="34" t="s">
        <v>16</v>
      </c>
      <c r="I113" s="34" t="s">
        <v>16</v>
      </c>
    </row>
    <row r="114" spans="1:9" ht="15.6" x14ac:dyDescent="0.3">
      <c r="A114" s="559" t="s">
        <v>201</v>
      </c>
      <c r="B114" s="563" t="s">
        <v>113</v>
      </c>
      <c r="C114" s="194" t="s">
        <v>169</v>
      </c>
      <c r="D114" s="195"/>
      <c r="E114" s="72"/>
      <c r="F114" s="197" t="str">
        <f>IF(E114="","",IF(E114&gt;=80,0,IF(E114&lt;=40,1,IF(E114&gt;=68,ROUND(E114*'Reference Curves'!$C$14+'Reference Curves'!$C$15,2),ROUND(E114*'Reference Curves'!$D$14+'Reference Curves'!$D$15,2)))))</f>
        <v/>
      </c>
      <c r="G114" s="487" t="str">
        <f>IFERROR(AVERAGE(F114:F116),"")</f>
        <v/>
      </c>
      <c r="H114" s="487" t="str">
        <f>IFERROR(ROUND(AVERAGE(G114:G116),2),"")</f>
        <v/>
      </c>
      <c r="I114" s="475" t="str">
        <f>IF(H114="","",IF(H114:H116&gt;0.69,"Functioning",IF(H114&gt;0.29,"Functioning At Risk",IF(H114&gt;-1,"Not Functioning"))))</f>
        <v/>
      </c>
    </row>
    <row r="115" spans="1:9" ht="15.6" x14ac:dyDescent="0.3">
      <c r="A115" s="560"/>
      <c r="B115" s="564"/>
      <c r="C115" s="262" t="s">
        <v>271</v>
      </c>
      <c r="D115" s="196"/>
      <c r="E115" s="199"/>
      <c r="F115" s="265" t="str">
        <f>IF(E115="","",  IF(E115&gt;0.95,0,IF(E115&lt;=0.02,1,ROUND(IF(E115&gt;0.26, 'Reference Curves'!$C$45*E115+'Reference Curves'!$C$46, IF(E115&lt;0.05, 'Reference Curves'!$E$45*E115+'Reference Curves'!$E$46, 'Reference Curves'!$D$45*E115+'Reference Curves'!$D$46)),2))) )</f>
        <v/>
      </c>
      <c r="G115" s="488"/>
      <c r="H115" s="488"/>
      <c r="I115" s="476"/>
    </row>
    <row r="116" spans="1:9" ht="15.6" customHeight="1" x14ac:dyDescent="0.3">
      <c r="A116" s="560"/>
      <c r="B116" s="565"/>
      <c r="C116" s="340" t="s">
        <v>302</v>
      </c>
      <c r="D116" s="341"/>
      <c r="E116" s="70"/>
      <c r="F116" s="312" t="str">
        <f>IF(E116="","",   IF(E116&gt;3.22,0, IF(E116&lt;0, "", ROUND('Reference Curves'!$C$74*E116+'Reference Curves'!$C$75,2))))</f>
        <v/>
      </c>
      <c r="G116" s="489"/>
      <c r="H116" s="488"/>
      <c r="I116" s="477"/>
    </row>
    <row r="117" spans="1:9" ht="15.6" x14ac:dyDescent="0.3">
      <c r="A117" s="561" t="s">
        <v>200</v>
      </c>
      <c r="B117" s="557" t="s">
        <v>5</v>
      </c>
      <c r="C117" s="74" t="s">
        <v>6</v>
      </c>
      <c r="D117" s="74"/>
      <c r="E117" s="72"/>
      <c r="F117" s="272" t="str">
        <f>IF(E117="","",ROUND(IF(E117&gt;1.71,0,IF(E117&lt;=1,1,E117*'Reference Curves'!K$13+'Reference Curves'!K$14)),2))</f>
        <v/>
      </c>
      <c r="G117" s="492" t="str">
        <f>IFERROR(AVERAGE(F117:F118),"")</f>
        <v/>
      </c>
      <c r="H117" s="492" t="str">
        <f>IFERROR(ROUND(AVERAGE(G117),2),"")</f>
        <v/>
      </c>
      <c r="I117" s="476" t="str">
        <f>IF(H117="","",IF(H117&gt;0.69,"Functioning",IF(H117&gt;0.29,"Functioning At Risk",IF(H117&gt;-1,"Not Functioning"))))</f>
        <v/>
      </c>
    </row>
    <row r="118" spans="1:9" ht="15.6" customHeight="1" x14ac:dyDescent="0.3">
      <c r="A118" s="562"/>
      <c r="B118" s="558"/>
      <c r="C118" s="75" t="s">
        <v>7</v>
      </c>
      <c r="D118" s="75"/>
      <c r="E118" s="73"/>
      <c r="F118" s="76" t="str">
        <f>IF(E118="","",IF(OR('Quantification Tool'!$B$9="A",'Quantification Tool'!$B$9="Ba",'Quantification Tool'!$B$9="B", 'Quantification Tool'!$B$9="Bc"),IF(E118&lt;1.2,0,IF(E118&gt;=2.2,1,ROUND(IF(E118&lt;1.4,E118*'Reference Curves'!$K$82+'Reference Curves'!$K$83,E118*'Reference Curves'!$L$82+'Reference Curves'!$L$83),2))),IF(OR('Quantification Tool'!$B$9="C",'Quantification Tool'!$B$9="Cb",'Quantification Tool'!$B$9="E"),IF(E118&lt;2,0,IF(E118&gt;=5,1,ROUND(IF(E118&lt;2.4,E118*'Reference Curves'!$L$47+'Reference Curves'!$L$48,E118*'Reference Curves'!$K$47+'Reference Curves'!$K$48),2))))))</f>
        <v/>
      </c>
      <c r="G118" s="493"/>
      <c r="H118" s="493"/>
      <c r="I118" s="477"/>
    </row>
    <row r="119" spans="1:9" ht="15.6" x14ac:dyDescent="0.3">
      <c r="A119" s="507" t="s">
        <v>20</v>
      </c>
      <c r="B119" s="507" t="s">
        <v>21</v>
      </c>
      <c r="C119" s="18" t="s">
        <v>19</v>
      </c>
      <c r="D119" s="77"/>
      <c r="E119" s="72"/>
      <c r="F119" s="78" t="str">
        <f>IF(E119="","",IF(E119&gt;=660,1,IF(E119&lt;=430,ROUND('Reference Curves'!$S$14*E119+'Reference Curves'!$S$15,2),ROUND('Reference Curves'!$T$14*E119+'Reference Curves'!$T$15,2))))</f>
        <v/>
      </c>
      <c r="G119" s="509" t="str">
        <f>IFERROR(AVERAGE(F119:F120),"")</f>
        <v/>
      </c>
      <c r="H119" s="509" t="str">
        <f>IFERROR(ROUND(AVERAGE(G119:G132),2),"")</f>
        <v/>
      </c>
      <c r="I119" s="516" t="str">
        <f>IF(H119="","",IF(H119&gt;0.69,"Functioning",IF(H119&gt;0.29,"Functioning At Risk",IF(H119&gt;-1,"Not Functioning"))))</f>
        <v/>
      </c>
    </row>
    <row r="120" spans="1:9" ht="15.6" x14ac:dyDescent="0.3">
      <c r="A120" s="511"/>
      <c r="B120" s="508"/>
      <c r="C120" s="17" t="s">
        <v>353</v>
      </c>
      <c r="D120" s="79"/>
      <c r="E120" s="73"/>
      <c r="F120" s="210" t="str">
        <f>IF(E120="","",IF(E120&gt;=28,1,ROUND(IF(E120&lt;=13,'Reference Curves'!$S$47*E120,'Reference Curves'!$T$47*E120+'Reference Curves'!$T$48),2)))</f>
        <v/>
      </c>
      <c r="G120" s="510"/>
      <c r="H120" s="515"/>
      <c r="I120" s="517"/>
    </row>
    <row r="121" spans="1:9" ht="15.6" x14ac:dyDescent="0.3">
      <c r="A121" s="511"/>
      <c r="B121" s="511" t="s">
        <v>196</v>
      </c>
      <c r="C121" s="80" t="s">
        <v>43</v>
      </c>
      <c r="D121" s="80"/>
      <c r="E121" s="199"/>
      <c r="F121" s="160" t="str">
        <f>IF(E121="","",IF(OR(E121="Ex/Ex",E121="Ex/VH",E121="Ex/H",E121="Ex/M",E121="VH/Ex",E121="VH/VH", E121="H/Ex",E121="H/VH"),0, IF(OR(E121="M/Ex"),0.1,IF(OR(E121="VH/H",E121="VH/M",E121="H/H",E121="H/M", E121="M/VH"),0.2, IF(OR(E121="Ex/VL",E121="Ex/L", E121="M/H"),0.3, IF(OR(E121="VH/L",E121="H/L"),0.4, IF(OR(E121="VH/VL",E121="H/VL",E121="M/M"),0.5, IF(OR(E121="M/L",E121="L/Ex"),0.6, IF(OR(E121="M/VL",E121="L/VH", E121="L/H",E121="L/M",E121="L/L",E121="L/VL"),1)))))))))</f>
        <v/>
      </c>
      <c r="G121" s="515" t="str">
        <f>IFERROR(AVERAGE(F121:F123),"")</f>
        <v/>
      </c>
      <c r="H121" s="515"/>
      <c r="I121" s="517"/>
    </row>
    <row r="122" spans="1:9" ht="15.6" x14ac:dyDescent="0.3">
      <c r="A122" s="511"/>
      <c r="B122" s="511"/>
      <c r="C122" s="173" t="s">
        <v>79</v>
      </c>
      <c r="D122" s="173"/>
      <c r="E122" s="199"/>
      <c r="F122" s="160" t="str">
        <f>IF(E122="","",ROUND(IF(E122&gt;=75,0,IF(E122&lt;=5,1,IF(E122&gt;10,E122*'Reference Curves'!S$81+'Reference Curves'!S$82,'Reference Curves'!$T$81*E122+'Reference Curves'!$T$82))),2))</f>
        <v/>
      </c>
      <c r="G122" s="515"/>
      <c r="H122" s="515"/>
      <c r="I122" s="517"/>
    </row>
    <row r="123" spans="1:9" ht="15.6" x14ac:dyDescent="0.3">
      <c r="A123" s="511"/>
      <c r="B123" s="508"/>
      <c r="C123" s="176" t="s">
        <v>195</v>
      </c>
      <c r="D123" s="144"/>
      <c r="E123" s="73"/>
      <c r="F123" s="181" t="str">
        <f>IF(E123="","",IF(E123&gt;=50,0,ROUND(E123*'Reference Curves'!$S$112+'Reference Curves'!$S$113,2)))</f>
        <v/>
      </c>
      <c r="G123" s="510"/>
      <c r="H123" s="515"/>
      <c r="I123" s="517"/>
    </row>
    <row r="124" spans="1:9" ht="15.6" x14ac:dyDescent="0.3">
      <c r="A124" s="511"/>
      <c r="B124" s="87" t="s">
        <v>97</v>
      </c>
      <c r="C124" s="17" t="s">
        <v>115</v>
      </c>
      <c r="D124" s="80"/>
      <c r="E124" s="73"/>
      <c r="F124" s="157" t="str">
        <f>IF(OR(E124="",'Quantification Tool'!$B$14=""),"",IF(OR('Quantification Tool'!$B$14="Silt/Clay",'Quantification Tool'!$B$14="Sand",'Quantification Tool'!$B$14="Boulders",'Quantification Tool'!$B$14="Bedrock"),"NA",IF(E124&gt;0.1,1,IF(E124&lt;=0.01,0,ROUND(E124*'Reference Curves'!$S$143+'Reference Curves'!$S$144,2)))))</f>
        <v/>
      </c>
      <c r="G124" s="82" t="str">
        <f>IFERROR(AVERAGE(F124),"")</f>
        <v/>
      </c>
      <c r="H124" s="515"/>
      <c r="I124" s="517"/>
    </row>
    <row r="125" spans="1:9" ht="15.6" x14ac:dyDescent="0.3">
      <c r="A125" s="511"/>
      <c r="B125" s="507" t="s">
        <v>45</v>
      </c>
      <c r="C125" s="77" t="s">
        <v>46</v>
      </c>
      <c r="D125" s="77"/>
      <c r="E125" s="83"/>
      <c r="F125" s="84" t="str">
        <f>IF(E125="","", IF(OR(LEFT('Quantification Tool'!$B$9)="C",'Quantification Tool'!$B$9="E"), IF(OR(E125&lt;=1,E125&gt;=9),0,IF(AND(E125&gt;=3.5,E125&lt;=6),1,IF(E125&lt;3.5, ROUND(E125*'Reference Curves'!$S$243+'Reference Curves'!$S$244,2), ROUND(E125*'Reference Curves'!$T$243+'Reference Curves'!$T$244,2)))),   IF(OR(('Quantification Tool'!$B$9)="A",('Quantification Tool'!$B$9)="B",('Quantification Tool'!$B$9)="Ba"), IF(E125&gt;=6.5,0, IF(E125&lt;=4, 1, ROUND(E125^2*'Reference Curves'!$S$177+E125*'Reference Curves'!$S$178+'Reference Curves'!$S$179,2))), IF('Quantification Tool'!$B$9="Bc",  IF(E125&gt;=8,0, IF(E125&lt;=5, 1, ROUND(E125^2*'Reference Curves'!$S$209+E125*'Reference Curves'!$S$210+'Reference Curves'!$S$211,2)))))))</f>
        <v/>
      </c>
      <c r="G125" s="512" t="str">
        <f>IFERROR(AVERAGE(F125:F128),"")</f>
        <v/>
      </c>
      <c r="H125" s="515"/>
      <c r="I125" s="517"/>
    </row>
    <row r="126" spans="1:9" ht="15.6" x14ac:dyDescent="0.3">
      <c r="A126" s="511"/>
      <c r="B126" s="511"/>
      <c r="C126" s="80" t="s">
        <v>47</v>
      </c>
      <c r="D126" s="80"/>
      <c r="E126" s="81"/>
      <c r="F126" s="85" t="str">
        <f>IF(E126="","", ROUND(  IF(E126&lt;=1.1,0, IF(E126&gt;=3,1, IF(E126&lt;2, E126^2*'Reference Curves'!$S$276+  E126*'Reference Curves'!$S$277 + 'Reference Curves'!$S$278,     E126*'Reference Curves'!$T$277 + 'Reference Curves'!$T$278))),2))</f>
        <v/>
      </c>
      <c r="G126" s="513"/>
      <c r="H126" s="515"/>
      <c r="I126" s="517"/>
    </row>
    <row r="127" spans="1:9" ht="15.6" x14ac:dyDescent="0.3">
      <c r="A127" s="511"/>
      <c r="B127" s="511"/>
      <c r="C127" s="15" t="s">
        <v>173</v>
      </c>
      <c r="D127" s="80"/>
      <c r="E127" s="81"/>
      <c r="F127" s="391" t="str">
        <f>IF(E127="","", IF(OR('Quantification Tool'!$B$9="A",LEFT('Quantification Tool'!$B$9,1)="B"), IF(OR(E127&lt;=20,E127&gt;=90),0,IF(AND(E127&gt;=50,E127&lt;=60),1,IF(E127&lt;50, ROUND(E127*'Reference Curves'!$S$310+'Reference Curves'!$S$311,2),ROUND( E127*'Reference Curves'!$T$310+'Reference Curves'!$T$311,2)))),   IF(OR(LEFT('Quantification Tool'!$B$9)="C",'Quantification Tool'!$B$9="E"), IF(OR(E127&lt;=20,E127&gt;=85),0, IF(AND(E127&lt;=65,E127&gt;=45), 1, IF(E127&lt;45, ROUND(E127*'Reference Curves'!$S$343+'Reference Curves'!$S$344,2),ROUN(E127*'Reference Curves'!$T$343+'Reference Curves'!$T$344,2))))   )  ))</f>
        <v/>
      </c>
      <c r="G127" s="513"/>
      <c r="H127" s="515"/>
      <c r="I127" s="517"/>
    </row>
    <row r="128" spans="1:9" ht="15.6" x14ac:dyDescent="0.3">
      <c r="A128" s="511"/>
      <c r="B128" s="508"/>
      <c r="C128" s="79" t="s">
        <v>136</v>
      </c>
      <c r="D128" s="79"/>
      <c r="E128" s="86"/>
      <c r="F128" s="362" t="str">
        <f>IF(E128="","",IF(E128&gt;=1.6,0,IF(E128&lt;=1,1,ROUND('Reference Curves'!$S$375*E128^3+'Reference Curves'!$S$376*E128^2+'Reference Curves'!$S$377*E128+'Reference Curves'!$S$378,2))))</f>
        <v/>
      </c>
      <c r="G128" s="514"/>
      <c r="H128" s="515"/>
      <c r="I128" s="517"/>
    </row>
    <row r="129" spans="1:9" ht="15.6" x14ac:dyDescent="0.3">
      <c r="A129" s="511"/>
      <c r="B129" s="507" t="s">
        <v>44</v>
      </c>
      <c r="C129" s="16" t="s">
        <v>295</v>
      </c>
      <c r="D129" s="179"/>
      <c r="E129" s="180"/>
      <c r="F129" s="172" t="str">
        <f>IF(E129="","",IF('Quantification Tool'!$B$19="Unconfined Alluvial",IF(E129&gt;=100,1,IF(E129&lt;30,0,ROUND('Reference Curves'!$S$411*E129+'Reference Curves'!$S$412,2))),IF(OR('Quantification Tool'!$B$19="Confined Alluvial",'Quantification Tool'!$B$19="Colluvial/V-Shaped"),(IF(E129&gt;=100,1,IF(E129&lt;60,0,ROUND('Reference Curves'!$T$411*E129+'Reference Curves'!$T$412,2)))))))</f>
        <v/>
      </c>
      <c r="G129" s="512" t="str">
        <f>IFERROR(AVERAGE(F129:F132),"")</f>
        <v/>
      </c>
      <c r="H129" s="515"/>
      <c r="I129" s="517"/>
    </row>
    <row r="130" spans="1:9" ht="15.6" x14ac:dyDescent="0.3">
      <c r="A130" s="511"/>
      <c r="B130" s="511"/>
      <c r="C130" s="145" t="s">
        <v>297</v>
      </c>
      <c r="D130" s="169"/>
      <c r="E130" s="177"/>
      <c r="F130" s="85" t="str">
        <f>IF(E130="","",IF('Quantification Tool'!$B$10="Yes",IF(E130&lt;=50,0,IF(E130&gt;=80,1,ROUND('Reference Curves'!$S$445*E130+'Reference Curves'!$S$446,2))),IF('Quantification Tool'!$B$10="No",IF(E130&gt;=80,0,IF(E130&lt;=50,1,ROUND(E130*'Reference Curves'!$T$445+'Reference Curves'!$T$446,2))))))</f>
        <v/>
      </c>
      <c r="G130" s="513"/>
      <c r="H130" s="515"/>
      <c r="I130" s="517"/>
    </row>
    <row r="131" spans="1:9" ht="15.6" x14ac:dyDescent="0.3">
      <c r="A131" s="511"/>
      <c r="B131" s="519"/>
      <c r="C131" s="145" t="s">
        <v>189</v>
      </c>
      <c r="D131" s="169"/>
      <c r="E131" s="177"/>
      <c r="F131" s="85" t="str">
        <f>IF(E131="","",IF(E131&lt;=50,0,IF(E131&gt;=80,1, ROUND(E131*'Reference Curves'!$S$477+'Reference Curves'!$S$478,2))))</f>
        <v/>
      </c>
      <c r="G131" s="513"/>
      <c r="H131" s="515"/>
      <c r="I131" s="517"/>
    </row>
    <row r="132" spans="1:9" ht="15.6" x14ac:dyDescent="0.3">
      <c r="A132" s="508"/>
      <c r="B132" s="508"/>
      <c r="C132" s="520" t="s">
        <v>377</v>
      </c>
      <c r="D132" s="521"/>
      <c r="E132" s="178"/>
      <c r="F132" s="85" t="str">
        <f>IF(E132="","",IF('Quantification Tool'!$B$10="Yes",IF(E132&lt;=9,0,IF(E132&gt;=14,1,ROUND('Reference Curves'!$S$509*E132+'Reference Curves'!$S$510,2))),"FALSE"))</f>
        <v/>
      </c>
      <c r="G132" s="514"/>
      <c r="H132" s="510"/>
      <c r="I132" s="518"/>
    </row>
    <row r="133" spans="1:9" ht="15.6" x14ac:dyDescent="0.3">
      <c r="A133" s="502" t="s">
        <v>51</v>
      </c>
      <c r="B133" s="313" t="s">
        <v>74</v>
      </c>
      <c r="C133" s="314" t="s">
        <v>272</v>
      </c>
      <c r="D133" s="325"/>
      <c r="E133" s="44"/>
      <c r="F133" s="319" t="str">
        <f>IF(E133="","",  IF(E133&gt;=25,0,IF(E133&lt;=10,1,ROUND(IF(E133&gt;18, 'Reference Curves'!$AA$14*E133+'Reference Curves'!$AA$15, IF(E133&lt;12, 'Reference Curves'!$AC$14*E133+'Reference Curves'!$AC$15, 'Reference Curves'!$AB$14*E133+'Reference Curves'!$AB$15)),2))) )</f>
        <v/>
      </c>
      <c r="G133" s="321" t="str">
        <f t="shared" ref="G133:G134" si="4">IFERROR(AVERAGE(F133),"")</f>
        <v/>
      </c>
      <c r="H133" s="568" t="str">
        <f>IFERROR(ROUND(AVERAGE(G133:G135),2),"")</f>
        <v/>
      </c>
      <c r="I133" s="482" t="str">
        <f>IF(H133="","",IF(H133&gt;0.69,"Functioning",IF(H133&gt;0.29,"Functioning At Risk",IF(H133&gt;-1,"Not Functioning"))))</f>
        <v/>
      </c>
    </row>
    <row r="134" spans="1:9" ht="15.6" x14ac:dyDescent="0.3">
      <c r="A134" s="503"/>
      <c r="B134" s="323" t="s">
        <v>280</v>
      </c>
      <c r="C134" s="314" t="s">
        <v>281</v>
      </c>
      <c r="D134" s="315"/>
      <c r="E134" s="199"/>
      <c r="F134" s="320" t="str">
        <f>IF(E134="","",IF('Quantification Tool'!$B$11="2A",IF(E134&lt;=5.3,0,IF(E134&gt;=8.79,1,ROUND(E134*'Reference Curves'!$AA$50+'Reference Curves'!$AA$51,2))),IF('Quantification Tool'!$B$11=7,IF(E134&lt;=0.8,0,IF(E134&gt;=1.25,1,ROUND(E134*'Reference Curves'!$AC$50+'Reference Curves'!$AC$51,2))),IF(OR('Quantification Tool'!$B$11="2B", 'Quantification Tool'!$B$11="2Bd",'Quantification Tool'!$B$11="2C"),IF(E134&lt;=3.8,0,(IF(E134&gt;=6.24,1,ROUND(E134*'Reference Curves'!$AB$50+'Reference Curves'!$AB$51,2))))))))</f>
        <v/>
      </c>
      <c r="G134" s="321" t="str">
        <f t="shared" si="4"/>
        <v/>
      </c>
      <c r="H134" s="569"/>
      <c r="I134" s="482"/>
    </row>
    <row r="135" spans="1:9" ht="15.6" x14ac:dyDescent="0.3">
      <c r="A135" s="504"/>
      <c r="B135" s="289" t="s">
        <v>293</v>
      </c>
      <c r="C135" s="317" t="s">
        <v>294</v>
      </c>
      <c r="D135" s="318"/>
      <c r="E135" s="44"/>
      <c r="F135" s="320" t="str">
        <f>IF(E135="","",IF('Quantification Tool'!B$11="2A",IF(E135&gt;=12.5,0,IF(E135&lt;=7.5,1,ROUND(E135*'Reference Curves'!$AA$86+'Reference Curves'!$AA$87,2))),IF(OR('Quantification Tool'!B$11="2B",'Quantification Tool'!B$11="2Bd",'Quantification Tool'!B$11="2C"),IF('Quantification Tool'!B$12="North",IF(E135&gt;=18.8,0,IF(E135&lt;=11.3,1,ROUND(E135*'Reference Curves'!$AB$86+'Reference Curves'!$AB$87,2))),IF('Quantification Tool'!B$12="Central",(IF(E135&gt;=37.5,0,IF(E135&lt;=22.5,1,ROUND(E135*'Reference Curves'!$AC$86+'Reference Curves'!$AC$87,2)))),IF(E135&gt;=81.2,0,(IF(E135&lt;=48.7,1,ROUND(E135*'Reference Curves'!$AD$86+'Reference Curves'!$AD$87,2)))))))))</f>
        <v/>
      </c>
      <c r="G135" s="321" t="str">
        <f>IFERROR(AVERAGE(F135),"")</f>
        <v/>
      </c>
      <c r="H135" s="570"/>
      <c r="I135" s="482"/>
    </row>
    <row r="136" spans="1:9" ht="15.6" x14ac:dyDescent="0.3">
      <c r="A136" s="505" t="s">
        <v>52</v>
      </c>
      <c r="B136" s="204" t="s">
        <v>129</v>
      </c>
      <c r="C136" s="203" t="s">
        <v>226</v>
      </c>
      <c r="D136" s="88"/>
      <c r="E136" s="72"/>
      <c r="F136" s="89" t="str">
        <f>IF(E136="","",IF('Quantification Tool'!$B$17="Northern Forest Rivers",IF(E136&lt;=38.2,0,IF(E136&gt;=77,1,ROUND(IF(E136&lt;49, 'Reference Curves'!$AJ$18*E136+'Reference Curves'!$AJ$19, IF(E136&lt;59.8, 'Reference Curves'!$AK$18*E136+'Reference Curves'!$AK$19, 'Reference Curves'!$AL$18*E136+'Reference Curves'!$AL$19)),2))),   IF('Quantification Tool'!$B$17="Northern Forest Streams Riffle-run",IF(E136&lt;40.4,0,IF(E136&gt;=82,1,ROUND(IF(E136&lt;53, 'Reference Curves'!$AM$18*E136+'Reference Curves'!$AM$19, IF(E136&lt;59.8, 'Reference Curves'!$AN$18*E136+'Reference Curves'!$AN$19, 'Reference Curves'!$AO$18*E136+'Reference Curves'!$AO$19) ),2))), IF('Quantification Tool'!$B$17="Northern Forest Streams Glide-pool",IF(E136&lt;=37,0,IF(E136&gt;=76,1,ROUND(IF(E136&lt;51, 'Reference Curves'!$AP$18*E136+'Reference Curves'!$AP$19, IF(E136&lt;65.6, 'Reference Curves'!$AQ$18*E136+'Reference Curves'!$AQ$19, 'Reference Curves'!$AR$18*E136+'Reference Curves'!$AR$19) ),2))), IF('Quantification Tool'!$B$17="Northern Coldwater",IF(E136&lt;19.6,0,IF(E136&gt;=52,1,ROUND(IF(E136&lt;32, 'Reference Curves'!$AS$18*E136+'Reference Curves'!$AS$19, IF(E136&lt;44.4, 'Reference Curves'!$AT$18*E136+'Reference Curves'!$AT$19, 'Reference Curves'!$AU$18*E136+'Reference Curves'!$AU$19) ),2))), IF('Quantification Tool'!$B$17="Southern Forest Streams Riffle-run", IF(E136&lt;24,0,IF(E136&gt;=62,1,ROUND(IF(E136&lt;37, 'Reference Curves'!$AJ$65*E136+'Reference Curves'!$AJ$66, IF(E136&lt;49.6, 'Reference Curves'!$AK$65*E136+'Reference Curves'!$AK$66, 'Reference Curves'!$AL$65*E136+'Reference Curves'!$AL$66)),2))), IF('Quantification Tool'!$B$17="Southern Forest Streams Glide-pool", IF(E136&lt;29.4,0,IF(E136&gt;=65,1,ROUND(IF(E136&lt;43, 'Reference Curves'!$AM$65*E136+'Reference Curves'!$AM$66, IF(E136&lt;56.6, 'Reference Curves'!$AN$65*E136+'Reference Curves'!$AN$66, 'Reference Curves'!$AO$65*E136+'Reference Curves'!$AO$66)),2))), IF('Quantification Tool'!$B$17="Southern Coldwater", IF(E136&lt;29.2,0,IF(E136&gt;=72,1,ROUND(IF(E136&lt;43, 'Reference Curves'!$AP$65*E136+'Reference Curves'!$AP$66, IF(E136&lt;56.8, 'Reference Curves'!$AQ$65*E136+'Reference Curves'!$AQ$66, 'Reference Curves'!$AR$65*E136+'Reference Curves'!$AR$66)),2))), IF('Quantification Tool'!$B$17="Prairie Forest Rivers", IF(E136&lt;20.2,0,IF(E136&gt;=62,1,ROUND(IF(E136&lt;31, 'Reference Curves'!$AJ$110*E136+'Reference Curves'!$AJ$111, IF(E136&lt;41.8, 'Reference Curves'!$AK$110*E136+'Reference Curves'!$AK$111, 'Reference Curves'!$AL$110*E136+'Reference Curves'!$AL$111)),2))), IF('Quantification Tool'!$B$17="Prairie Streams Glide-Pool", IF(E136&lt;27.4,0,IF(E136&gt;=69,1,ROUND(IF(E136&lt;41, 'Reference Curves'!$AM$110*E136+'Reference Curves'!$AM$111, IF(E136&lt;54.6, 'Reference Curves'!$AN$110*E136+'Reference Curves'!$AN$111, 'Reference Curves'!$AO$110*E136+'Reference Curves'!$AO$111)),2))) ))))))))))</f>
        <v/>
      </c>
      <c r="G136" s="205" t="str">
        <f>IFERROR(AVERAGE(F136),"")</f>
        <v/>
      </c>
      <c r="H136" s="481" t="str">
        <f>IFERROR(ROUND(AVERAGE(G136:G137),2),"")</f>
        <v/>
      </c>
      <c r="I136" s="482" t="str">
        <f>IF(H136="","",IF(H136&gt;0.69,"Functioning",IF(H136&gt;0.29,"Functioning At Risk",IF(H136&gt;-1,"Not Functioning"))))</f>
        <v/>
      </c>
    </row>
    <row r="137" spans="1:9" ht="15.6" x14ac:dyDescent="0.3">
      <c r="A137" s="506"/>
      <c r="B137" s="206" t="s">
        <v>70</v>
      </c>
      <c r="C137" s="207" t="s">
        <v>227</v>
      </c>
      <c r="D137" s="208"/>
      <c r="E137" s="13"/>
      <c r="F137" s="89" t="str">
        <f>IF(E137="","",IF('Quantification Tool'!$B$18="Northern Rivers",IF(E137&lt;29,0,IF(E137&gt;=66,1,ROUND(IF(E137&lt;38, 'Reference Curves'!$AJ$156*E137+'Reference Curves'!$AJ$157, IF(E137&lt;47, 'Reference Curves'!$AK$156*E137+'Reference Curves'!$AK$157, 'Reference Curves'!$AL$156*E137+'Reference Curves'!$AL$157)),2))),   IF('Quantification Tool'!$B$18="Northern Streams",IF(E137&lt;35,0,IF(E137&gt;=61,1,ROUND(IF(E137&lt;47, 'Reference Curves'!$AM$156*E137+'Reference Curves'!$AM$157, IF(E137&lt;56, 'Reference Curves'!$AN$156*E137+'Reference Curves'!$AN$157, 'Reference Curves'!$AO$156*E137+'Reference Curves'!$AO$157) ),2))), IF('Quantification Tool'!$B$18="Northern Headwaters",IF(E137&lt;23,0,IF(E137&gt;=68,1,ROUND(IF(E137&lt;42, 'Reference Curves'!$AP$156*E137+'Reference Curves'!$AP$157, IF(E137&lt;56, 'Reference Curves'!$AQ$156*E137+'Reference Curves'!$AQ$157, 'Reference Curves'!$AR$156*E137+'Reference Curves'!$AR$157) ),2))), IF('Quantification Tool'!$B$18="Northern Coldwater",IF(E137&lt;25,0,IF(E137&gt;=60,1,ROUND(IF(E137&lt;35, 'Reference Curves'!$AS$156*E137+'Reference Curves'!$AS$157, IF(E137&lt;35, 'Reference Curves'!$AT$156*E137+'Reference Curves'!$AT$157, 'Reference Curves'!$AU$156*E137+'Reference Curves'!$AU$157) ),2))), IF('Quantification Tool'!$B$18="Southern River", IF(E137&lt;38,0,IF(E137&gt;=71,1,ROUND(IF(E137&lt;49, 'Reference Curves'!$AJ$203*E137+'Reference Curves'!$AJ$204, IF(E137&lt;60, 'Reference Curves'!$AK$203*E137+'Reference Curves'!$AK$204, 'Reference Curves'!$AL$203*E137+'Reference Curves'!$AL$204)),2))), IF('Quantification Tool'!$B$18="Southern Streams", IF(E137&lt;35,0,IF(E137&gt;=66,1,ROUND(IF(E137&lt;50, 'Reference Curves'!$AM$203*E137+'Reference Curves'!$AM$204, IF(E137&lt;59, 'Reference Curves'!$AN$203*E137+'Reference Curves'!$AN$204, 'Reference Curves'!$AO$203*E137+'Reference Curves'!$AO$204)),2))), IF('Quantification Tool'!$B$18="Southern Headwaters", IF(E137&lt;33,0,IF(E137&gt;=74,1,ROUND(IF(E137&lt;55, 'Reference Curves'!$AP$203*E137+'Reference Curves'!$AP$204, IF(E137&lt;62, 'Reference Curves'!$AQ$203*E137+'Reference Curves'!$AQ$204, 'Reference Curves'!$AR$203*E137+'Reference Curves'!$AR$204)),2))), IF('Quantification Tool'!$B$18="Southern Coldwater", IF(E137&lt;37,0,IF(E137&gt;=82,1,ROUND(IF(E137&lt;50, 'Reference Curves'!$AS$203*E137+'Reference Curves'!$AS$204, IF(E137&lt;63, 'Reference Curves'!$AT$203*E137+'Reference Curves'!$AT$204, 'Reference Curves'!$AU$203*E137+'Reference Curves'!$AU$204)),2))), IF('Quantification Tool'!$B$18="Low Gradient", IF(E137&lt;15,0,IF(E137&gt;=70,1,ROUND(IF(E137&lt;42, 'Reference Curves'!$AJ$247*E137+'Reference Curves'!$AJ$248, IF(E137&lt;52, 'Reference Curves'!$AK$247*E137+'Reference Curves'!$AK$248, 'Reference Curves'!$AL$247*E137+'Reference Curves'!$AL$248)),2))) ))))))))))</f>
        <v/>
      </c>
      <c r="G137" s="205" t="str">
        <f>IFERROR(AVERAGE(F137),"")</f>
        <v/>
      </c>
      <c r="H137" s="481"/>
      <c r="I137" s="482"/>
    </row>
    <row r="139" spans="1:9" ht="13.95" customHeight="1" x14ac:dyDescent="0.3"/>
    <row r="140" spans="1:9" ht="21" x14ac:dyDescent="0.4">
      <c r="A140" s="28" t="s">
        <v>120</v>
      </c>
      <c r="B140" s="166">
        <v>5</v>
      </c>
      <c r="C140" s="168" t="s">
        <v>186</v>
      </c>
      <c r="D140" s="584"/>
      <c r="E140" s="584"/>
      <c r="F140" s="585"/>
      <c r="G140" s="589" t="s">
        <v>14</v>
      </c>
      <c r="H140" s="590"/>
      <c r="I140" s="591"/>
    </row>
    <row r="141" spans="1:9" ht="15.6" x14ac:dyDescent="0.3">
      <c r="A141" s="34" t="s">
        <v>1</v>
      </c>
      <c r="B141" s="34" t="s">
        <v>2</v>
      </c>
      <c r="C141" s="154" t="s">
        <v>3</v>
      </c>
      <c r="D141" s="155"/>
      <c r="E141" s="34" t="s">
        <v>12</v>
      </c>
      <c r="F141" s="34" t="s">
        <v>13</v>
      </c>
      <c r="G141" s="34" t="s">
        <v>15</v>
      </c>
      <c r="H141" s="34" t="s">
        <v>16</v>
      </c>
      <c r="I141" s="34" t="s">
        <v>16</v>
      </c>
    </row>
    <row r="142" spans="1:9" ht="15.6" x14ac:dyDescent="0.3">
      <c r="A142" s="559" t="s">
        <v>201</v>
      </c>
      <c r="B142" s="563" t="s">
        <v>113</v>
      </c>
      <c r="C142" s="194" t="s">
        <v>169</v>
      </c>
      <c r="D142" s="195"/>
      <c r="E142" s="72"/>
      <c r="F142" s="197" t="str">
        <f>IF(E142="","",IF(E142&gt;=80,0,IF(E142&lt;=40,1,IF(E142&gt;=68,ROUND(E142*'Reference Curves'!$C$14+'Reference Curves'!$C$15,2),ROUND(E142*'Reference Curves'!$D$14+'Reference Curves'!$D$15,2)))))</f>
        <v/>
      </c>
      <c r="G142" s="487" t="str">
        <f>IFERROR(AVERAGE(F142:F144),"")</f>
        <v/>
      </c>
      <c r="H142" s="487" t="str">
        <f>IFERROR(ROUND(AVERAGE(G142:G144),2),"")</f>
        <v/>
      </c>
      <c r="I142" s="475" t="str">
        <f>IF(H142="","",IF(H142:H144&gt;0.69,"Functioning",IF(H142&gt;0.29,"Functioning At Risk",IF(H142&gt;-1,"Not Functioning"))))</f>
        <v/>
      </c>
    </row>
    <row r="143" spans="1:9" ht="15.6" x14ac:dyDescent="0.3">
      <c r="A143" s="560"/>
      <c r="B143" s="564"/>
      <c r="C143" s="262" t="s">
        <v>271</v>
      </c>
      <c r="D143" s="196"/>
      <c r="E143" s="199"/>
      <c r="F143" s="265" t="str">
        <f>IF(E143="","",  IF(E143&gt;0.95,0,IF(E143&lt;=0.02,1,ROUND(IF(E143&gt;0.26, 'Reference Curves'!$C$45*E143+'Reference Curves'!$C$46, IF(E143&lt;0.05, 'Reference Curves'!$E$45*E143+'Reference Curves'!$E$46, 'Reference Curves'!$D$45*E143+'Reference Curves'!$D$46)),2))) )</f>
        <v/>
      </c>
      <c r="G143" s="488"/>
      <c r="H143" s="488"/>
      <c r="I143" s="476"/>
    </row>
    <row r="144" spans="1:9" ht="15.6" customHeight="1" x14ac:dyDescent="0.3">
      <c r="A144" s="560"/>
      <c r="B144" s="565"/>
      <c r="C144" s="340" t="s">
        <v>302</v>
      </c>
      <c r="D144" s="341"/>
      <c r="E144" s="70"/>
      <c r="F144" s="312" t="str">
        <f>IF(E144="","",   IF(E144&gt;3.22,0, IF(E144&lt;0, "", ROUND('Reference Curves'!$C$74*E144+'Reference Curves'!$C$75,2))))</f>
        <v/>
      </c>
      <c r="G144" s="489"/>
      <c r="H144" s="488"/>
      <c r="I144" s="477"/>
    </row>
    <row r="145" spans="1:9" ht="15.6" x14ac:dyDescent="0.3">
      <c r="A145" s="561" t="s">
        <v>200</v>
      </c>
      <c r="B145" s="557" t="s">
        <v>5</v>
      </c>
      <c r="C145" s="74" t="s">
        <v>6</v>
      </c>
      <c r="D145" s="74"/>
      <c r="E145" s="72"/>
      <c r="F145" s="272" t="str">
        <f>IF(E145="","",ROUND(IF(E145&gt;1.71,0,IF(E145&lt;=1,1,E145*'Reference Curves'!K$13+'Reference Curves'!K$14)),2))</f>
        <v/>
      </c>
      <c r="G145" s="492" t="str">
        <f>IFERROR(AVERAGE(F145:F146),"")</f>
        <v/>
      </c>
      <c r="H145" s="492" t="str">
        <f>IFERROR(ROUND(AVERAGE(G145),2),"")</f>
        <v/>
      </c>
      <c r="I145" s="476" t="str">
        <f>IF(H145="","",IF(H145&gt;0.69,"Functioning",IF(H145&gt;0.29,"Functioning At Risk",IF(H145&gt;-1,"Not Functioning"))))</f>
        <v/>
      </c>
    </row>
    <row r="146" spans="1:9" ht="15.6" customHeight="1" x14ac:dyDescent="0.3">
      <c r="A146" s="562"/>
      <c r="B146" s="558"/>
      <c r="C146" s="75" t="s">
        <v>7</v>
      </c>
      <c r="D146" s="75"/>
      <c r="E146" s="73"/>
      <c r="F146" s="76" t="str">
        <f>IF(E146="","",IF(OR('Quantification Tool'!$B$9="A",'Quantification Tool'!$B$9="Ba",'Quantification Tool'!$B$9="B", 'Quantification Tool'!$B$9="Bc"),IF(E146&lt;1.2,0,IF(E146&gt;=2.2,1,ROUND(IF(E146&lt;1.4,E146*'Reference Curves'!$K$82+'Reference Curves'!$K$83,E146*'Reference Curves'!$L$82+'Reference Curves'!$L$83),2))),IF(OR('Quantification Tool'!$B$9="C",'Quantification Tool'!$B$9="Cb",'Quantification Tool'!$B$9="E"),IF(E146&lt;2,0,IF(E146&gt;=5,1,ROUND(IF(E146&lt;2.4,E146*'Reference Curves'!$L$47+'Reference Curves'!$L$48,E146*'Reference Curves'!$K$47+'Reference Curves'!$K$48),2))))))</f>
        <v/>
      </c>
      <c r="G146" s="493"/>
      <c r="H146" s="493"/>
      <c r="I146" s="477"/>
    </row>
    <row r="147" spans="1:9" ht="15.6" x14ac:dyDescent="0.3">
      <c r="A147" s="507" t="s">
        <v>20</v>
      </c>
      <c r="B147" s="507" t="s">
        <v>21</v>
      </c>
      <c r="C147" s="18" t="s">
        <v>19</v>
      </c>
      <c r="D147" s="77"/>
      <c r="E147" s="72"/>
      <c r="F147" s="78" t="str">
        <f>IF(E147="","",IF(E147&gt;=660,1,IF(E147&lt;=430,ROUND('Reference Curves'!$S$14*E147+'Reference Curves'!$S$15,2),ROUND('Reference Curves'!$T$14*E147+'Reference Curves'!$T$15,2))))</f>
        <v/>
      </c>
      <c r="G147" s="509" t="str">
        <f>IFERROR(AVERAGE(F147:F148),"")</f>
        <v/>
      </c>
      <c r="H147" s="509" t="str">
        <f>IFERROR(ROUND(AVERAGE(G147:G160),2),"")</f>
        <v/>
      </c>
      <c r="I147" s="516" t="str">
        <f>IF(H147="","",IF(H147&gt;0.69,"Functioning",IF(H147&gt;0.29,"Functioning At Risk",IF(H147&gt;-1,"Not Functioning"))))</f>
        <v/>
      </c>
    </row>
    <row r="148" spans="1:9" ht="15.6" x14ac:dyDescent="0.3">
      <c r="A148" s="511"/>
      <c r="B148" s="508"/>
      <c r="C148" s="17" t="s">
        <v>353</v>
      </c>
      <c r="D148" s="79"/>
      <c r="E148" s="73"/>
      <c r="F148" s="210" t="str">
        <f>IF(E148="","",IF(E148&gt;=28,1,ROUND(IF(E148&lt;=13,'Reference Curves'!$S$47*E148,'Reference Curves'!$T$47*E148+'Reference Curves'!$T$48),2)))</f>
        <v/>
      </c>
      <c r="G148" s="510"/>
      <c r="H148" s="515"/>
      <c r="I148" s="517"/>
    </row>
    <row r="149" spans="1:9" ht="15.6" x14ac:dyDescent="0.3">
      <c r="A149" s="511"/>
      <c r="B149" s="511" t="s">
        <v>196</v>
      </c>
      <c r="C149" s="80" t="s">
        <v>43</v>
      </c>
      <c r="D149" s="80"/>
      <c r="E149" s="199"/>
      <c r="F149" s="160" t="str">
        <f>IF(E149="","",IF(OR(E149="Ex/Ex",E149="Ex/VH",E149="Ex/H",E149="Ex/M",E149="VH/Ex",E149="VH/VH", E149="H/Ex",E149="H/VH"),0, IF(OR(E149="M/Ex"),0.1,IF(OR(E149="VH/H",E149="VH/M",E149="H/H",E149="H/M", E149="M/VH"),0.2, IF(OR(E149="Ex/VL",E149="Ex/L", E149="M/H"),0.3, IF(OR(E149="VH/L",E149="H/L"),0.4, IF(OR(E149="VH/VL",E149="H/VL",E149="M/M"),0.5, IF(OR(E149="M/L",E149="L/Ex"),0.6, IF(OR(E149="M/VL",E149="L/VH", E149="L/H",E149="L/M",E149="L/L",E149="L/VL"),1)))))))))</f>
        <v/>
      </c>
      <c r="G149" s="515" t="str">
        <f>IFERROR(AVERAGE(F149:F151),"")</f>
        <v/>
      </c>
      <c r="H149" s="515"/>
      <c r="I149" s="517"/>
    </row>
    <row r="150" spans="1:9" ht="15.6" x14ac:dyDescent="0.3">
      <c r="A150" s="511"/>
      <c r="B150" s="511"/>
      <c r="C150" s="173" t="s">
        <v>79</v>
      </c>
      <c r="D150" s="173"/>
      <c r="E150" s="199"/>
      <c r="F150" s="160" t="str">
        <f>IF(E150="","",ROUND(IF(E150&gt;=75,0,IF(E150&lt;=5,1,IF(E150&gt;10,E150*'Reference Curves'!S$81+'Reference Curves'!S$82,'Reference Curves'!$T$81*E150+'Reference Curves'!$T$82))),2))</f>
        <v/>
      </c>
      <c r="G150" s="515"/>
      <c r="H150" s="515"/>
      <c r="I150" s="517"/>
    </row>
    <row r="151" spans="1:9" ht="15.6" x14ac:dyDescent="0.3">
      <c r="A151" s="511"/>
      <c r="B151" s="508"/>
      <c r="C151" s="176" t="s">
        <v>195</v>
      </c>
      <c r="D151" s="144"/>
      <c r="E151" s="73"/>
      <c r="F151" s="181" t="str">
        <f>IF(E151="","",IF(E151&gt;=50,0,ROUND(E151*'Reference Curves'!$S$112+'Reference Curves'!$S$113,2)))</f>
        <v/>
      </c>
      <c r="G151" s="510"/>
      <c r="H151" s="515"/>
      <c r="I151" s="517"/>
    </row>
    <row r="152" spans="1:9" ht="15.6" x14ac:dyDescent="0.3">
      <c r="A152" s="511"/>
      <c r="B152" s="87" t="s">
        <v>97</v>
      </c>
      <c r="C152" s="17" t="s">
        <v>115</v>
      </c>
      <c r="D152" s="80"/>
      <c r="E152" s="73"/>
      <c r="F152" s="157" t="str">
        <f>IF(OR(E152="",'Quantification Tool'!$B$14=""),"",IF(OR('Quantification Tool'!$B$14="Silt/Clay",'Quantification Tool'!$B$14="Sand",'Quantification Tool'!$B$14="Boulders",'Quantification Tool'!$B$14="Bedrock"),"NA",IF(E152&gt;0.1,1,IF(E152&lt;=0.01,0,ROUND(E152*'Reference Curves'!$S$143+'Reference Curves'!$S$144,2)))))</f>
        <v/>
      </c>
      <c r="G152" s="82" t="str">
        <f>IFERROR(AVERAGE(F152),"")</f>
        <v/>
      </c>
      <c r="H152" s="515"/>
      <c r="I152" s="517"/>
    </row>
    <row r="153" spans="1:9" ht="15.6" x14ac:dyDescent="0.3">
      <c r="A153" s="511"/>
      <c r="B153" s="507" t="s">
        <v>45</v>
      </c>
      <c r="C153" s="77" t="s">
        <v>46</v>
      </c>
      <c r="D153" s="77"/>
      <c r="E153" s="83"/>
      <c r="F153" s="84" t="str">
        <f>IF(E153="","", IF(OR(LEFT('Quantification Tool'!$B$9)="C",'Quantification Tool'!$B$9="E"), IF(OR(E153&lt;=1,E153&gt;=9),0,IF(AND(E153&gt;=3.5,E153&lt;=6),1,IF(E153&lt;3.5, ROUND(E153*'Reference Curves'!$S$243+'Reference Curves'!$S$244,2), ROUND(E153*'Reference Curves'!$T$243+'Reference Curves'!$T$244,2)))),   IF(OR(('Quantification Tool'!$B$9)="A",('Quantification Tool'!$B$9)="B",('Quantification Tool'!$B$9)="Ba"), IF(E153&gt;=6.5,0, IF(E153&lt;=4, 1, ROUND(E153^2*'Reference Curves'!$S$177+E153*'Reference Curves'!$S$178+'Reference Curves'!$S$179,2))), IF('Quantification Tool'!$B$9="Bc",  IF(E153&gt;=8,0, IF(E153&lt;=5, 1, ROUND(E153^2*'Reference Curves'!$S$209+E153*'Reference Curves'!$S$210+'Reference Curves'!$S$211,2)))))))</f>
        <v/>
      </c>
      <c r="G153" s="512" t="str">
        <f>IFERROR(AVERAGE(F153:F156),"")</f>
        <v/>
      </c>
      <c r="H153" s="515"/>
      <c r="I153" s="517"/>
    </row>
    <row r="154" spans="1:9" ht="15.6" x14ac:dyDescent="0.3">
      <c r="A154" s="511"/>
      <c r="B154" s="511"/>
      <c r="C154" s="80" t="s">
        <v>47</v>
      </c>
      <c r="D154" s="80"/>
      <c r="E154" s="81"/>
      <c r="F154" s="85" t="str">
        <f>IF(E154="","", ROUND(  IF(E154&lt;=1.1,0, IF(E154&gt;=3,1, IF(E154&lt;2, E154^2*'Reference Curves'!$S$276+  E154*'Reference Curves'!$S$277 + 'Reference Curves'!$S$278,     E154*'Reference Curves'!$T$277 + 'Reference Curves'!$T$278))),2))</f>
        <v/>
      </c>
      <c r="G154" s="513"/>
      <c r="H154" s="515"/>
      <c r="I154" s="517"/>
    </row>
    <row r="155" spans="1:9" ht="15.6" x14ac:dyDescent="0.3">
      <c r="A155" s="511"/>
      <c r="B155" s="511"/>
      <c r="C155" s="15" t="s">
        <v>173</v>
      </c>
      <c r="D155" s="80"/>
      <c r="E155" s="81"/>
      <c r="F155" s="391" t="str">
        <f>IF(E155="","", IF(OR('Quantification Tool'!$B$9="A",LEFT('Quantification Tool'!$B$9,1)="B"), IF(OR(E155&lt;=20,E155&gt;=90),0,IF(AND(E155&gt;=50,E155&lt;=60),1,IF(E155&lt;50, ROUND(E155*'Reference Curves'!$S$310+'Reference Curves'!$S$311,2),ROUND( E155*'Reference Curves'!$T$310+'Reference Curves'!$T$311,2)))),   IF(OR(LEFT('Quantification Tool'!$B$9)="C",'Quantification Tool'!$B$9="E"), IF(OR(E155&lt;=20,E155&gt;=85),0, IF(AND(E155&lt;=65,E155&gt;=45), 1, IF(E155&lt;45, ROUND(E155*'Reference Curves'!$S$343+'Reference Curves'!$S$344,2),ROUN(E155*'Reference Curves'!$T$343+'Reference Curves'!$T$344,2))))   )  ))</f>
        <v/>
      </c>
      <c r="G155" s="513"/>
      <c r="H155" s="515"/>
      <c r="I155" s="517"/>
    </row>
    <row r="156" spans="1:9" ht="15.6" x14ac:dyDescent="0.3">
      <c r="A156" s="511"/>
      <c r="B156" s="508"/>
      <c r="C156" s="79" t="s">
        <v>136</v>
      </c>
      <c r="D156" s="79"/>
      <c r="E156" s="86"/>
      <c r="F156" s="362" t="str">
        <f>IF(E156="","",IF(E156&gt;=1.6,0,IF(E156&lt;=1,1,ROUND('Reference Curves'!$S$375*E156^3+'Reference Curves'!$S$376*E156^2+'Reference Curves'!$S$377*E156+'Reference Curves'!$S$378,2))))</f>
        <v/>
      </c>
      <c r="G156" s="514"/>
      <c r="H156" s="515"/>
      <c r="I156" s="517"/>
    </row>
    <row r="157" spans="1:9" ht="15.6" x14ac:dyDescent="0.3">
      <c r="A157" s="511"/>
      <c r="B157" s="507" t="s">
        <v>44</v>
      </c>
      <c r="C157" s="16" t="s">
        <v>295</v>
      </c>
      <c r="D157" s="179"/>
      <c r="E157" s="180"/>
      <c r="F157" s="172" t="str">
        <f>IF(E157="","",IF('Quantification Tool'!$B$19="Unconfined Alluvial",IF(E157&gt;=100,1,IF(E157&lt;30,0,ROUND('Reference Curves'!$S$411*E157+'Reference Curves'!$S$412,2))),IF(OR('Quantification Tool'!$B$19="Confined Alluvial",'Quantification Tool'!$B$19="Colluvial/V-Shaped"),(IF(E157&gt;=100,1,IF(E157&lt;60,0,ROUND('Reference Curves'!$T$411*E157+'Reference Curves'!$T$412,2)))))))</f>
        <v/>
      </c>
      <c r="G157" s="512" t="str">
        <f>IFERROR(AVERAGE(F157:F160),"")</f>
        <v/>
      </c>
      <c r="H157" s="515"/>
      <c r="I157" s="517"/>
    </row>
    <row r="158" spans="1:9" ht="15.6" x14ac:dyDescent="0.3">
      <c r="A158" s="511"/>
      <c r="B158" s="511"/>
      <c r="C158" s="145" t="s">
        <v>297</v>
      </c>
      <c r="D158" s="169"/>
      <c r="E158" s="177"/>
      <c r="F158" s="85" t="str">
        <f>IF(E158="","",IF('Quantification Tool'!$B$10="Yes",IF(E158&lt;=50,0,IF(E158&gt;=80,1,ROUND('Reference Curves'!$S$445*E158+'Reference Curves'!$S$446,2))),IF('Quantification Tool'!$B$10="No",IF(E158&gt;=80,0,IF(E158&lt;=50,1,ROUND(E158*'Reference Curves'!$T$445+'Reference Curves'!$T$446,2))))))</f>
        <v/>
      </c>
      <c r="G158" s="513"/>
      <c r="H158" s="515"/>
      <c r="I158" s="517"/>
    </row>
    <row r="159" spans="1:9" ht="15.6" x14ac:dyDescent="0.3">
      <c r="A159" s="511"/>
      <c r="B159" s="519"/>
      <c r="C159" s="145" t="s">
        <v>189</v>
      </c>
      <c r="D159" s="169"/>
      <c r="E159" s="177"/>
      <c r="F159" s="85" t="str">
        <f>IF(E159="","",IF(E159&lt;=50,0,IF(E159&gt;=80,1, ROUND(E159*'Reference Curves'!$S$477+'Reference Curves'!$S$478,2))))</f>
        <v/>
      </c>
      <c r="G159" s="513"/>
      <c r="H159" s="515"/>
      <c r="I159" s="517"/>
    </row>
    <row r="160" spans="1:9" ht="15.6" x14ac:dyDescent="0.3">
      <c r="A160" s="508"/>
      <c r="B160" s="508"/>
      <c r="C160" s="520" t="s">
        <v>377</v>
      </c>
      <c r="D160" s="521"/>
      <c r="E160" s="178"/>
      <c r="F160" s="85" t="str">
        <f>IF(E160="","",IF('Quantification Tool'!$B$10="Yes",IF(E160&lt;=9,0,IF(E160&gt;=14,1,ROUND('Reference Curves'!$S$509*E160+'Reference Curves'!$S$510,2))),"FALSE"))</f>
        <v/>
      </c>
      <c r="G160" s="514"/>
      <c r="H160" s="510"/>
      <c r="I160" s="518"/>
    </row>
    <row r="161" spans="1:9" ht="15.6" x14ac:dyDescent="0.3">
      <c r="A161" s="502" t="s">
        <v>51</v>
      </c>
      <c r="B161" s="313" t="s">
        <v>74</v>
      </c>
      <c r="C161" s="314" t="s">
        <v>272</v>
      </c>
      <c r="D161" s="325"/>
      <c r="E161" s="44"/>
      <c r="F161" s="319" t="str">
        <f>IF(E161="","",  IF(E161&gt;=25,0,IF(E161&lt;=10,1,ROUND(IF(E161&gt;18, 'Reference Curves'!$AA$14*E161+'Reference Curves'!$AA$15, IF(E161&lt;12, 'Reference Curves'!$AC$14*E161+'Reference Curves'!$AC$15, 'Reference Curves'!$AB$14*E161+'Reference Curves'!$AB$15)),2))) )</f>
        <v/>
      </c>
      <c r="G161" s="321" t="str">
        <f t="shared" ref="G161:G162" si="5">IFERROR(AVERAGE(F161),"")</f>
        <v/>
      </c>
      <c r="H161" s="568" t="str">
        <f>IFERROR(ROUND(AVERAGE(G161:G163),2),"")</f>
        <v/>
      </c>
      <c r="I161" s="482" t="str">
        <f>IF(H161="","",IF(H161&gt;0.69,"Functioning",IF(H161&gt;0.29,"Functioning At Risk",IF(H161&gt;-1,"Not Functioning"))))</f>
        <v/>
      </c>
    </row>
    <row r="162" spans="1:9" ht="15.6" x14ac:dyDescent="0.3">
      <c r="A162" s="503"/>
      <c r="B162" s="323" t="s">
        <v>280</v>
      </c>
      <c r="C162" s="314" t="s">
        <v>281</v>
      </c>
      <c r="D162" s="315"/>
      <c r="E162" s="199"/>
      <c r="F162" s="320" t="str">
        <f>IF(E162="","",IF('Quantification Tool'!$B$11="2A",IF(E162&lt;=5.3,0,IF(E162&gt;=8.79,1,ROUND(E162*'Reference Curves'!$AA$50+'Reference Curves'!$AA$51,2))),IF('Quantification Tool'!$B$11=7,IF(E162&lt;=0.8,0,IF(E162&gt;=1.25,1,ROUND(E162*'Reference Curves'!$AC$50+'Reference Curves'!$AC$51,2))),IF(OR('Quantification Tool'!$B$11="2B", 'Quantification Tool'!$B$11="2Bd",'Quantification Tool'!$B$11="2C"),IF(E162&lt;=3.8,0,(IF(E162&gt;=6.24,1,ROUND(E162*'Reference Curves'!$AB$50+'Reference Curves'!$AB$51,2))))))))</f>
        <v/>
      </c>
      <c r="G162" s="321" t="str">
        <f t="shared" si="5"/>
        <v/>
      </c>
      <c r="H162" s="569"/>
      <c r="I162" s="482"/>
    </row>
    <row r="163" spans="1:9" ht="15.6" x14ac:dyDescent="0.3">
      <c r="A163" s="504"/>
      <c r="B163" s="289" t="s">
        <v>293</v>
      </c>
      <c r="C163" s="317" t="s">
        <v>294</v>
      </c>
      <c r="D163" s="318"/>
      <c r="E163" s="44"/>
      <c r="F163" s="320" t="str">
        <f>IF(E163="","",IF('Quantification Tool'!B$11="2A",IF(E163&gt;=12.5,0,IF(E163&lt;=7.5,1,ROUND(E163*'Reference Curves'!$AA$86+'Reference Curves'!$AA$87,2))),IF(OR('Quantification Tool'!B$11="2B",'Quantification Tool'!B$11="2Bd",'Quantification Tool'!B$11="2C"),IF('Quantification Tool'!B$12="North",IF(E163&gt;=18.8,0,IF(E163&lt;=11.3,1,ROUND(E163*'Reference Curves'!$AB$86+'Reference Curves'!$AB$87,2))),IF('Quantification Tool'!B$12="Central",(IF(E163&gt;=37.5,0,IF(E163&lt;=22.5,1,ROUND(E163*'Reference Curves'!$AC$86+'Reference Curves'!$AC$87,2)))),IF(E163&gt;=81.2,0,(IF(E163&lt;=48.7,1,ROUND(E163*'Reference Curves'!$AD$86+'Reference Curves'!$AD$87,2)))))))))</f>
        <v/>
      </c>
      <c r="G163" s="321" t="str">
        <f>IFERROR(AVERAGE(F163),"")</f>
        <v/>
      </c>
      <c r="H163" s="570"/>
      <c r="I163" s="482"/>
    </row>
    <row r="164" spans="1:9" ht="15.6" x14ac:dyDescent="0.3">
      <c r="A164" s="505" t="s">
        <v>52</v>
      </c>
      <c r="B164" s="204" t="s">
        <v>129</v>
      </c>
      <c r="C164" s="203" t="s">
        <v>226</v>
      </c>
      <c r="D164" s="88"/>
      <c r="E164" s="72"/>
      <c r="F164" s="89" t="str">
        <f>IF(E164="","",IF('Quantification Tool'!$B$17="Northern Forest Rivers",IF(E164&lt;=38.2,0,IF(E164&gt;=77,1,ROUND(IF(E164&lt;49, 'Reference Curves'!$AJ$18*E164+'Reference Curves'!$AJ$19, IF(E164&lt;59.8, 'Reference Curves'!$AK$18*E164+'Reference Curves'!$AK$19, 'Reference Curves'!$AL$18*E164+'Reference Curves'!$AL$19)),2))),   IF('Quantification Tool'!$B$17="Northern Forest Streams Riffle-run",IF(E164&lt;40.4,0,IF(E164&gt;=82,1,ROUND(IF(E164&lt;53, 'Reference Curves'!$AM$18*E164+'Reference Curves'!$AM$19, IF(E164&lt;59.8, 'Reference Curves'!$AN$18*E164+'Reference Curves'!$AN$19, 'Reference Curves'!$AO$18*E164+'Reference Curves'!$AO$19) ),2))), IF('Quantification Tool'!$B$17="Northern Forest Streams Glide-pool",IF(E164&lt;=37,0,IF(E164&gt;=76,1,ROUND(IF(E164&lt;51, 'Reference Curves'!$AP$18*E164+'Reference Curves'!$AP$19, IF(E164&lt;65.6, 'Reference Curves'!$AQ$18*E164+'Reference Curves'!$AQ$19, 'Reference Curves'!$AR$18*E164+'Reference Curves'!$AR$19) ),2))), IF('Quantification Tool'!$B$17="Northern Coldwater",IF(E164&lt;19.6,0,IF(E164&gt;=52,1,ROUND(IF(E164&lt;32, 'Reference Curves'!$AS$18*E164+'Reference Curves'!$AS$19, IF(E164&lt;44.4, 'Reference Curves'!$AT$18*E164+'Reference Curves'!$AT$19, 'Reference Curves'!$AU$18*E164+'Reference Curves'!$AU$19) ),2))), IF('Quantification Tool'!$B$17="Southern Forest Streams Riffle-run", IF(E164&lt;24,0,IF(E164&gt;=62,1,ROUND(IF(E164&lt;37, 'Reference Curves'!$AJ$65*E164+'Reference Curves'!$AJ$66, IF(E164&lt;49.6, 'Reference Curves'!$AK$65*E164+'Reference Curves'!$AK$66, 'Reference Curves'!$AL$65*E164+'Reference Curves'!$AL$66)),2))), IF('Quantification Tool'!$B$17="Southern Forest Streams Glide-pool", IF(E164&lt;29.4,0,IF(E164&gt;=65,1,ROUND(IF(E164&lt;43, 'Reference Curves'!$AM$65*E164+'Reference Curves'!$AM$66, IF(E164&lt;56.6, 'Reference Curves'!$AN$65*E164+'Reference Curves'!$AN$66, 'Reference Curves'!$AO$65*E164+'Reference Curves'!$AO$66)),2))), IF('Quantification Tool'!$B$17="Southern Coldwater", IF(E164&lt;29.2,0,IF(E164&gt;=72,1,ROUND(IF(E164&lt;43, 'Reference Curves'!$AP$65*E164+'Reference Curves'!$AP$66, IF(E164&lt;56.8, 'Reference Curves'!$AQ$65*E164+'Reference Curves'!$AQ$66, 'Reference Curves'!$AR$65*E164+'Reference Curves'!$AR$66)),2))), IF('Quantification Tool'!$B$17="Prairie Forest Rivers", IF(E164&lt;20.2,0,IF(E164&gt;=62,1,ROUND(IF(E164&lt;31, 'Reference Curves'!$AJ$110*E164+'Reference Curves'!$AJ$111, IF(E164&lt;41.8, 'Reference Curves'!$AK$110*E164+'Reference Curves'!$AK$111, 'Reference Curves'!$AL$110*E164+'Reference Curves'!$AL$111)),2))), IF('Quantification Tool'!$B$17="Prairie Streams Glide-Pool", IF(E164&lt;27.4,0,IF(E164&gt;=69,1,ROUND(IF(E164&lt;41, 'Reference Curves'!$AM$110*E164+'Reference Curves'!$AM$111, IF(E164&lt;54.6, 'Reference Curves'!$AN$110*E164+'Reference Curves'!$AN$111, 'Reference Curves'!$AO$110*E164+'Reference Curves'!$AO$111)),2))) ))))))))))</f>
        <v/>
      </c>
      <c r="G164" s="205" t="str">
        <f>IFERROR(AVERAGE(F164),"")</f>
        <v/>
      </c>
      <c r="H164" s="481" t="str">
        <f>IFERROR(ROUND(AVERAGE(G164:G165),2),"")</f>
        <v/>
      </c>
      <c r="I164" s="482" t="str">
        <f>IF(H164="","",IF(H164&gt;0.69,"Functioning",IF(H164&gt;0.29,"Functioning At Risk",IF(H164&gt;-1,"Not Functioning"))))</f>
        <v/>
      </c>
    </row>
    <row r="165" spans="1:9" ht="15.6" x14ac:dyDescent="0.3">
      <c r="A165" s="506"/>
      <c r="B165" s="206" t="s">
        <v>70</v>
      </c>
      <c r="C165" s="207" t="s">
        <v>227</v>
      </c>
      <c r="D165" s="208"/>
      <c r="E165" s="13"/>
      <c r="F165" s="89" t="str">
        <f>IF(E165="","",IF('Quantification Tool'!$B$18="Northern Rivers",IF(E165&lt;29,0,IF(E165&gt;=66,1,ROUND(IF(E165&lt;38, 'Reference Curves'!$AJ$156*E165+'Reference Curves'!$AJ$157, IF(E165&lt;47, 'Reference Curves'!$AK$156*E165+'Reference Curves'!$AK$157, 'Reference Curves'!$AL$156*E165+'Reference Curves'!$AL$157)),2))),   IF('Quantification Tool'!$B$18="Northern Streams",IF(E165&lt;35,0,IF(E165&gt;=61,1,ROUND(IF(E165&lt;47, 'Reference Curves'!$AM$156*E165+'Reference Curves'!$AM$157, IF(E165&lt;56, 'Reference Curves'!$AN$156*E165+'Reference Curves'!$AN$157, 'Reference Curves'!$AO$156*E165+'Reference Curves'!$AO$157) ),2))), IF('Quantification Tool'!$B$18="Northern Headwaters",IF(E165&lt;23,0,IF(E165&gt;=68,1,ROUND(IF(E165&lt;42, 'Reference Curves'!$AP$156*E165+'Reference Curves'!$AP$157, IF(E165&lt;56, 'Reference Curves'!$AQ$156*E165+'Reference Curves'!$AQ$157, 'Reference Curves'!$AR$156*E165+'Reference Curves'!$AR$157) ),2))), IF('Quantification Tool'!$B$18="Northern Coldwater",IF(E165&lt;25,0,IF(E165&gt;=60,1,ROUND(IF(E165&lt;35, 'Reference Curves'!$AS$156*E165+'Reference Curves'!$AS$157, IF(E165&lt;35, 'Reference Curves'!$AT$156*E165+'Reference Curves'!$AT$157, 'Reference Curves'!$AU$156*E165+'Reference Curves'!$AU$157) ),2))), IF('Quantification Tool'!$B$18="Southern River", IF(E165&lt;38,0,IF(E165&gt;=71,1,ROUND(IF(E165&lt;49, 'Reference Curves'!$AJ$203*E165+'Reference Curves'!$AJ$204, IF(E165&lt;60, 'Reference Curves'!$AK$203*E165+'Reference Curves'!$AK$204, 'Reference Curves'!$AL$203*E165+'Reference Curves'!$AL$204)),2))), IF('Quantification Tool'!$B$18="Southern Streams", IF(E165&lt;35,0,IF(E165&gt;=66,1,ROUND(IF(E165&lt;50, 'Reference Curves'!$AM$203*E165+'Reference Curves'!$AM$204, IF(E165&lt;59, 'Reference Curves'!$AN$203*E165+'Reference Curves'!$AN$204, 'Reference Curves'!$AO$203*E165+'Reference Curves'!$AO$204)),2))), IF('Quantification Tool'!$B$18="Southern Headwaters", IF(E165&lt;33,0,IF(E165&gt;=74,1,ROUND(IF(E165&lt;55, 'Reference Curves'!$AP$203*E165+'Reference Curves'!$AP$204, IF(E165&lt;62, 'Reference Curves'!$AQ$203*E165+'Reference Curves'!$AQ$204, 'Reference Curves'!$AR$203*E165+'Reference Curves'!$AR$204)),2))), IF('Quantification Tool'!$B$18="Southern Coldwater", IF(E165&lt;37,0,IF(E165&gt;=82,1,ROUND(IF(E165&lt;50, 'Reference Curves'!$AS$203*E165+'Reference Curves'!$AS$204, IF(E165&lt;63, 'Reference Curves'!$AT$203*E165+'Reference Curves'!$AT$204, 'Reference Curves'!$AU$203*E165+'Reference Curves'!$AU$204)),2))), IF('Quantification Tool'!$B$18="Low Gradient", IF(E165&lt;15,0,IF(E165&gt;=70,1,ROUND(IF(E165&lt;42, 'Reference Curves'!$AJ$247*E165+'Reference Curves'!$AJ$248, IF(E165&lt;52, 'Reference Curves'!$AK$247*E165+'Reference Curves'!$AK$248, 'Reference Curves'!$AL$247*E165+'Reference Curves'!$AL$248)),2))) ))))))))))</f>
        <v/>
      </c>
      <c r="G165" s="205" t="str">
        <f>IFERROR(AVERAGE(F165),"")</f>
        <v/>
      </c>
      <c r="H165" s="481"/>
      <c r="I165" s="482"/>
    </row>
    <row r="168" spans="1:9" ht="21" x14ac:dyDescent="0.4">
      <c r="A168" s="28" t="s">
        <v>120</v>
      </c>
      <c r="B168" s="166">
        <v>6</v>
      </c>
      <c r="C168" s="168" t="s">
        <v>186</v>
      </c>
      <c r="D168" s="584"/>
      <c r="E168" s="584"/>
      <c r="F168" s="585"/>
      <c r="G168" s="589" t="s">
        <v>14</v>
      </c>
      <c r="H168" s="590"/>
      <c r="I168" s="591"/>
    </row>
    <row r="169" spans="1:9" ht="15.6" x14ac:dyDescent="0.3">
      <c r="A169" s="34" t="s">
        <v>1</v>
      </c>
      <c r="B169" s="34" t="s">
        <v>2</v>
      </c>
      <c r="C169" s="154" t="s">
        <v>3</v>
      </c>
      <c r="D169" s="155"/>
      <c r="E169" s="34" t="s">
        <v>12</v>
      </c>
      <c r="F169" s="34" t="s">
        <v>13</v>
      </c>
      <c r="G169" s="34" t="s">
        <v>15</v>
      </c>
      <c r="H169" s="34" t="s">
        <v>16</v>
      </c>
      <c r="I169" s="34" t="s">
        <v>16</v>
      </c>
    </row>
    <row r="170" spans="1:9" ht="15.75" customHeight="1" x14ac:dyDescent="0.3">
      <c r="A170" s="559" t="s">
        <v>201</v>
      </c>
      <c r="B170" s="563" t="s">
        <v>113</v>
      </c>
      <c r="C170" s="194" t="s">
        <v>169</v>
      </c>
      <c r="D170" s="195"/>
      <c r="E170" s="72"/>
      <c r="F170" s="197" t="str">
        <f>IF(E170="","",IF(E170&gt;=80,0,IF(E170&lt;=40,1,IF(E170&gt;=68,ROUND(E170*'Reference Curves'!$C$14+'Reference Curves'!$C$15,2),ROUND(E170*'Reference Curves'!$D$14+'Reference Curves'!$D$15,2)))))</f>
        <v/>
      </c>
      <c r="G170" s="487" t="str">
        <f>IFERROR(AVERAGE(F170:F172),"")</f>
        <v/>
      </c>
      <c r="H170" s="487" t="str">
        <f>IFERROR(ROUND(AVERAGE(G170:G172),2),"")</f>
        <v/>
      </c>
      <c r="I170" s="475" t="str">
        <f>IF(H170="","",IF(H170:H172&gt;0.69,"Functioning",IF(H170&gt;0.29,"Functioning At Risk",IF(H170&gt;-1,"Not Functioning"))))</f>
        <v/>
      </c>
    </row>
    <row r="171" spans="1:9" ht="15.6" x14ac:dyDescent="0.3">
      <c r="A171" s="560"/>
      <c r="B171" s="564"/>
      <c r="C171" s="262" t="s">
        <v>271</v>
      </c>
      <c r="D171" s="196"/>
      <c r="E171" s="199"/>
      <c r="F171" s="265" t="str">
        <f>IF(E171="","",  IF(E171&gt;0.95,0,IF(E171&lt;=0.02,1,ROUND(IF(E171&gt;0.26, 'Reference Curves'!$C$45*E171+'Reference Curves'!$C$46, IF(E171&lt;0.05, 'Reference Curves'!$E$45*E171+'Reference Curves'!$E$46, 'Reference Curves'!$D$45*E171+'Reference Curves'!$D$46)),2))) )</f>
        <v/>
      </c>
      <c r="G171" s="488"/>
      <c r="H171" s="488"/>
      <c r="I171" s="476"/>
    </row>
    <row r="172" spans="1:9" ht="15.6" customHeight="1" x14ac:dyDescent="0.3">
      <c r="A172" s="560"/>
      <c r="B172" s="565"/>
      <c r="C172" s="340" t="s">
        <v>302</v>
      </c>
      <c r="D172" s="341"/>
      <c r="E172" s="70"/>
      <c r="F172" s="312" t="str">
        <f>IF(E172="","",   IF(E172&gt;3.22,0, IF(E172&lt;0, "", ROUND('Reference Curves'!$C$74*E172+'Reference Curves'!$C$75,2))))</f>
        <v/>
      </c>
      <c r="G172" s="489"/>
      <c r="H172" s="488"/>
      <c r="I172" s="477"/>
    </row>
    <row r="173" spans="1:9" ht="15.6" x14ac:dyDescent="0.3">
      <c r="A173" s="561" t="s">
        <v>200</v>
      </c>
      <c r="B173" s="557" t="s">
        <v>5</v>
      </c>
      <c r="C173" s="74" t="s">
        <v>6</v>
      </c>
      <c r="D173" s="74"/>
      <c r="E173" s="72"/>
      <c r="F173" s="272" t="str">
        <f>IF(E173="","",ROUND(IF(E173&gt;1.71,0,IF(E173&lt;=1,1,E173*'Reference Curves'!K$13+'Reference Curves'!K$14)),2))</f>
        <v/>
      </c>
      <c r="G173" s="492" t="str">
        <f>IFERROR(AVERAGE(F173:F174),"")</f>
        <v/>
      </c>
      <c r="H173" s="492" t="str">
        <f>IFERROR(ROUND(AVERAGE(G173),2),"")</f>
        <v/>
      </c>
      <c r="I173" s="476" t="str">
        <f>IF(H173="","",IF(H173&gt;0.69,"Functioning",IF(H173&gt;0.29,"Functioning At Risk",IF(H173&gt;-1,"Not Functioning"))))</f>
        <v/>
      </c>
    </row>
    <row r="174" spans="1:9" ht="15.6" customHeight="1" x14ac:dyDescent="0.3">
      <c r="A174" s="562"/>
      <c r="B174" s="558"/>
      <c r="C174" s="75" t="s">
        <v>7</v>
      </c>
      <c r="D174" s="75"/>
      <c r="E174" s="73"/>
      <c r="F174" s="76" t="str">
        <f>IF(E174="","",IF(OR('Quantification Tool'!$B$9="A",'Quantification Tool'!$B$9="Ba",'Quantification Tool'!$B$9="B", 'Quantification Tool'!$B$9="Bc"),IF(E174&lt;1.2,0,IF(E174&gt;=2.2,1,ROUND(IF(E174&lt;1.4,E174*'Reference Curves'!$K$82+'Reference Curves'!$K$83,E174*'Reference Curves'!$L$82+'Reference Curves'!$L$83),2))),IF(OR('Quantification Tool'!$B$9="C",'Quantification Tool'!$B$9="Cb",'Quantification Tool'!$B$9="E"),IF(E174&lt;2,0,IF(E174&gt;=5,1,ROUND(IF(E174&lt;2.4,E174*'Reference Curves'!$L$47+'Reference Curves'!$L$48,E174*'Reference Curves'!$K$47+'Reference Curves'!$K$48),2))))))</f>
        <v/>
      </c>
      <c r="G174" s="493"/>
      <c r="H174" s="493"/>
      <c r="I174" s="477"/>
    </row>
    <row r="175" spans="1:9" ht="15.6" x14ac:dyDescent="0.3">
      <c r="A175" s="507" t="s">
        <v>20</v>
      </c>
      <c r="B175" s="507" t="s">
        <v>21</v>
      </c>
      <c r="C175" s="18" t="s">
        <v>19</v>
      </c>
      <c r="D175" s="77"/>
      <c r="E175" s="72"/>
      <c r="F175" s="78" t="str">
        <f>IF(E175="","",IF(E175&gt;=660,1,IF(E175&lt;=430,ROUND('Reference Curves'!$S$14*E175+'Reference Curves'!$S$15,2),ROUND('Reference Curves'!$T$14*E175+'Reference Curves'!$T$15,2))))</f>
        <v/>
      </c>
      <c r="G175" s="509" t="str">
        <f>IFERROR(AVERAGE(F175:F176),"")</f>
        <v/>
      </c>
      <c r="H175" s="509" t="str">
        <f>IFERROR(ROUND(AVERAGE(G175:G188),2),"")</f>
        <v/>
      </c>
      <c r="I175" s="516" t="str">
        <f>IF(H175="","",IF(H175&gt;0.69,"Functioning",IF(H175&gt;0.29,"Functioning At Risk",IF(H175&gt;-1,"Not Functioning"))))</f>
        <v/>
      </c>
    </row>
    <row r="176" spans="1:9" ht="15.6" x14ac:dyDescent="0.3">
      <c r="A176" s="511"/>
      <c r="B176" s="508"/>
      <c r="C176" s="17" t="s">
        <v>353</v>
      </c>
      <c r="D176" s="79"/>
      <c r="E176" s="73"/>
      <c r="F176" s="210" t="str">
        <f>IF(E176="","",IF(E176&gt;=28,1,ROUND(IF(E176&lt;=13,'Reference Curves'!$S$47*E176,'Reference Curves'!$T$47*E176+'Reference Curves'!$T$48),2)))</f>
        <v/>
      </c>
      <c r="G176" s="510"/>
      <c r="H176" s="515"/>
      <c r="I176" s="517"/>
    </row>
    <row r="177" spans="1:9" ht="15.6" x14ac:dyDescent="0.3">
      <c r="A177" s="511"/>
      <c r="B177" s="511" t="s">
        <v>196</v>
      </c>
      <c r="C177" s="80" t="s">
        <v>43</v>
      </c>
      <c r="D177" s="80"/>
      <c r="E177" s="199"/>
      <c r="F177" s="160" t="str">
        <f>IF(E177="","",IF(OR(E177="Ex/Ex",E177="Ex/VH",E177="Ex/H",E177="Ex/M",E177="VH/Ex",E177="VH/VH", E177="H/Ex",E177="H/VH"),0, IF(OR(E177="M/Ex"),0.1,IF(OR(E177="VH/H",E177="VH/M",E177="H/H",E177="H/M", E177="M/VH"),0.2, IF(OR(E177="Ex/VL",E177="Ex/L", E177="M/H"),0.3, IF(OR(E177="VH/L",E177="H/L"),0.4, IF(OR(E177="VH/VL",E177="H/VL",E177="M/M"),0.5, IF(OR(E177="M/L",E177="L/Ex"),0.6, IF(OR(E177="M/VL",E177="L/VH", E177="L/H",E177="L/M",E177="L/L",E177="L/VL"),1)))))))))</f>
        <v/>
      </c>
      <c r="G177" s="515" t="str">
        <f>IFERROR(AVERAGE(F177:F179),"")</f>
        <v/>
      </c>
      <c r="H177" s="515"/>
      <c r="I177" s="517"/>
    </row>
    <row r="178" spans="1:9" ht="15.6" x14ac:dyDescent="0.3">
      <c r="A178" s="511"/>
      <c r="B178" s="511"/>
      <c r="C178" s="173" t="s">
        <v>79</v>
      </c>
      <c r="D178" s="173"/>
      <c r="E178" s="199"/>
      <c r="F178" s="160" t="str">
        <f>IF(E178="","",ROUND(IF(E178&gt;=75,0,IF(E178&lt;=5,1,IF(E178&gt;10,E178*'Reference Curves'!S$81+'Reference Curves'!S$82,'Reference Curves'!$T$81*E178+'Reference Curves'!$T$82))),2))</f>
        <v/>
      </c>
      <c r="G178" s="515"/>
      <c r="H178" s="515"/>
      <c r="I178" s="517"/>
    </row>
    <row r="179" spans="1:9" ht="15.6" x14ac:dyDescent="0.3">
      <c r="A179" s="511"/>
      <c r="B179" s="508"/>
      <c r="C179" s="176" t="s">
        <v>195</v>
      </c>
      <c r="D179" s="144"/>
      <c r="E179" s="73"/>
      <c r="F179" s="181" t="str">
        <f>IF(E179="","",IF(E179&gt;=50,0,ROUND(E179*'Reference Curves'!$S$112+'Reference Curves'!$S$113,2)))</f>
        <v/>
      </c>
      <c r="G179" s="510"/>
      <c r="H179" s="515"/>
      <c r="I179" s="517"/>
    </row>
    <row r="180" spans="1:9" ht="15.6" x14ac:dyDescent="0.3">
      <c r="A180" s="511"/>
      <c r="B180" s="87" t="s">
        <v>97</v>
      </c>
      <c r="C180" s="17" t="s">
        <v>115</v>
      </c>
      <c r="D180" s="80"/>
      <c r="E180" s="73"/>
      <c r="F180" s="157" t="str">
        <f>IF(OR(E180="",'Quantification Tool'!$B$14=""),"",IF(OR('Quantification Tool'!$B$14="Silt/Clay",'Quantification Tool'!$B$14="Sand",'Quantification Tool'!$B$14="Boulders",'Quantification Tool'!$B$14="Bedrock"),"NA",IF(E180&gt;0.1,1,IF(E180&lt;=0.01,0,ROUND(E180*'Reference Curves'!$S$143+'Reference Curves'!$S$144,2)))))</f>
        <v/>
      </c>
      <c r="G180" s="82" t="str">
        <f>IFERROR(AVERAGE(F180),"")</f>
        <v/>
      </c>
      <c r="H180" s="515"/>
      <c r="I180" s="517"/>
    </row>
    <row r="181" spans="1:9" ht="15.6" x14ac:dyDescent="0.3">
      <c r="A181" s="511"/>
      <c r="B181" s="507" t="s">
        <v>45</v>
      </c>
      <c r="C181" s="77" t="s">
        <v>46</v>
      </c>
      <c r="D181" s="77"/>
      <c r="E181" s="83"/>
      <c r="F181" s="84" t="str">
        <f>IF(E181="","", IF(OR(LEFT('Quantification Tool'!$B$9)="C",'Quantification Tool'!$B$9="E"), IF(OR(E181&lt;=1,E181&gt;=9),0,IF(AND(E181&gt;=3.5,E181&lt;=6),1,IF(E181&lt;3.5, ROUND(E181*'Reference Curves'!$S$243+'Reference Curves'!$S$244,2), ROUND(E181*'Reference Curves'!$T$243+'Reference Curves'!$T$244,2)))),   IF(OR(('Quantification Tool'!$B$9)="A",('Quantification Tool'!$B$9)="B",('Quantification Tool'!$B$9)="Ba"), IF(E181&gt;=6.5,0, IF(E181&lt;=4, 1, ROUND(E181^2*'Reference Curves'!$S$177+E181*'Reference Curves'!$S$178+'Reference Curves'!$S$179,2))), IF('Quantification Tool'!$B$9="Bc",  IF(E181&gt;=8,0, IF(E181&lt;=5, 1, ROUND(E181^2*'Reference Curves'!$S$209+E181*'Reference Curves'!$S$210+'Reference Curves'!$S$211,2)))))))</f>
        <v/>
      </c>
      <c r="G181" s="512" t="str">
        <f>IFERROR(AVERAGE(F181:F184),"")</f>
        <v/>
      </c>
      <c r="H181" s="515"/>
      <c r="I181" s="517"/>
    </row>
    <row r="182" spans="1:9" ht="15.6" x14ac:dyDescent="0.3">
      <c r="A182" s="511"/>
      <c r="B182" s="511"/>
      <c r="C182" s="80" t="s">
        <v>47</v>
      </c>
      <c r="D182" s="80"/>
      <c r="E182" s="81"/>
      <c r="F182" s="85" t="str">
        <f>IF(E182="","", ROUND(  IF(E182&lt;=1.1,0, IF(E182&gt;=3,1, IF(E182&lt;2, E182^2*'Reference Curves'!$S$276+  E182*'Reference Curves'!$S$277 + 'Reference Curves'!$S$278,     E182*'Reference Curves'!$T$277 + 'Reference Curves'!$T$278))),2))</f>
        <v/>
      </c>
      <c r="G182" s="513"/>
      <c r="H182" s="515"/>
      <c r="I182" s="517"/>
    </row>
    <row r="183" spans="1:9" ht="15.6" x14ac:dyDescent="0.3">
      <c r="A183" s="511"/>
      <c r="B183" s="511"/>
      <c r="C183" s="15" t="s">
        <v>173</v>
      </c>
      <c r="D183" s="80"/>
      <c r="E183" s="81"/>
      <c r="F183" s="391" t="str">
        <f>IF(E183="","", IF(OR('Quantification Tool'!$B$9="A",LEFT('Quantification Tool'!$B$9,1)="B"), IF(OR(E183&lt;=20,E183&gt;=90),0,IF(AND(E183&gt;=50,E183&lt;=60),1,IF(E183&lt;50, ROUND(E183*'Reference Curves'!$S$310+'Reference Curves'!$S$311,2),ROUND( E183*'Reference Curves'!$T$310+'Reference Curves'!$T$311,2)))),   IF(OR(LEFT('Quantification Tool'!$B$9)="C",'Quantification Tool'!$B$9="E"), IF(OR(E183&lt;=20,E183&gt;=85),0, IF(AND(E183&lt;=65,E183&gt;=45), 1, IF(E183&lt;45, ROUND(E183*'Reference Curves'!$S$343+'Reference Curves'!$S$344,2),ROUN(E183*'Reference Curves'!$T$343+'Reference Curves'!$T$344,2))))   )  ))</f>
        <v/>
      </c>
      <c r="G183" s="513"/>
      <c r="H183" s="515"/>
      <c r="I183" s="517"/>
    </row>
    <row r="184" spans="1:9" ht="15.6" x14ac:dyDescent="0.3">
      <c r="A184" s="511"/>
      <c r="B184" s="508"/>
      <c r="C184" s="79" t="s">
        <v>136</v>
      </c>
      <c r="D184" s="79"/>
      <c r="E184" s="86"/>
      <c r="F184" s="362" t="str">
        <f>IF(E184="","",IF(E184&gt;=1.6,0,IF(E184&lt;=1,1,ROUND('Reference Curves'!$S$375*E184^3+'Reference Curves'!$S$376*E184^2+'Reference Curves'!$S$377*E184+'Reference Curves'!$S$378,2))))</f>
        <v/>
      </c>
      <c r="G184" s="514"/>
      <c r="H184" s="515"/>
      <c r="I184" s="517"/>
    </row>
    <row r="185" spans="1:9" ht="15.6" x14ac:dyDescent="0.3">
      <c r="A185" s="511"/>
      <c r="B185" s="507" t="s">
        <v>44</v>
      </c>
      <c r="C185" s="16" t="s">
        <v>295</v>
      </c>
      <c r="D185" s="179"/>
      <c r="E185" s="180"/>
      <c r="F185" s="172" t="str">
        <f>IF(E185="","",IF('Quantification Tool'!$B$19="Unconfined Alluvial",IF(E185&gt;=100,1,IF(E185&lt;30,0,ROUND('Reference Curves'!$S$411*E185+'Reference Curves'!$S$412,2))),IF(OR('Quantification Tool'!$B$19="Confined Alluvial",'Quantification Tool'!$B$19="Colluvial/V-Shaped"),(IF(E185&gt;=100,1,IF(E185&lt;60,0,ROUND('Reference Curves'!$T$411*E185+'Reference Curves'!$T$412,2)))))))</f>
        <v/>
      </c>
      <c r="G185" s="512" t="str">
        <f>IFERROR(AVERAGE(F185:F188),"")</f>
        <v/>
      </c>
      <c r="H185" s="515"/>
      <c r="I185" s="517"/>
    </row>
    <row r="186" spans="1:9" ht="15.6" x14ac:dyDescent="0.3">
      <c r="A186" s="511"/>
      <c r="B186" s="511"/>
      <c r="C186" s="145" t="s">
        <v>297</v>
      </c>
      <c r="D186" s="169"/>
      <c r="E186" s="177"/>
      <c r="F186" s="85" t="str">
        <f>IF(E186="","",IF('Quantification Tool'!$B$10="Yes",IF(E186&lt;=50,0,IF(E186&gt;=80,1,ROUND('Reference Curves'!$S$445*E186+'Reference Curves'!$S$446,2))),IF('Quantification Tool'!$B$10="No",IF(E186&gt;=80,0,IF(E186&lt;=50,1,ROUND(E186*'Reference Curves'!$T$445+'Reference Curves'!$T$446,2))))))</f>
        <v/>
      </c>
      <c r="G186" s="513"/>
      <c r="H186" s="515"/>
      <c r="I186" s="517"/>
    </row>
    <row r="187" spans="1:9" ht="15.6" x14ac:dyDescent="0.3">
      <c r="A187" s="511"/>
      <c r="B187" s="519"/>
      <c r="C187" s="145" t="s">
        <v>189</v>
      </c>
      <c r="D187" s="169"/>
      <c r="E187" s="177"/>
      <c r="F187" s="85" t="str">
        <f>IF(E187="","",IF(E187&lt;=50,0,IF(E187&gt;=80,1, ROUND(E187*'Reference Curves'!$S$477+'Reference Curves'!$S$478,2))))</f>
        <v/>
      </c>
      <c r="G187" s="513"/>
      <c r="H187" s="515"/>
      <c r="I187" s="517"/>
    </row>
    <row r="188" spans="1:9" ht="15.6" x14ac:dyDescent="0.3">
      <c r="A188" s="508"/>
      <c r="B188" s="508"/>
      <c r="C188" s="520" t="s">
        <v>377</v>
      </c>
      <c r="D188" s="521"/>
      <c r="E188" s="178"/>
      <c r="F188" s="85" t="str">
        <f>IF(E188="","",IF('Quantification Tool'!$B$10="Yes",IF(E188&lt;=9,0,IF(E188&gt;=14,1,ROUND('Reference Curves'!$S$509*E188+'Reference Curves'!$S$510,2))),"FALSE"))</f>
        <v/>
      </c>
      <c r="G188" s="514"/>
      <c r="H188" s="510"/>
      <c r="I188" s="518"/>
    </row>
    <row r="189" spans="1:9" ht="15.6" x14ac:dyDescent="0.3">
      <c r="A189" s="502" t="s">
        <v>51</v>
      </c>
      <c r="B189" s="313" t="s">
        <v>74</v>
      </c>
      <c r="C189" s="314" t="s">
        <v>272</v>
      </c>
      <c r="D189" s="315"/>
      <c r="E189" s="44"/>
      <c r="F189" s="319" t="str">
        <f>IF(E189="","",  IF(E189&gt;=25,0,IF(E189&lt;=10,1,ROUND(IF(E189&gt;18, 'Reference Curves'!$AA$14*E189+'Reference Curves'!$AA$15, IF(E189&lt;12, 'Reference Curves'!$AC$14*E189+'Reference Curves'!$AC$15, 'Reference Curves'!$AB$14*E189+'Reference Curves'!$AB$15)),2))) )</f>
        <v/>
      </c>
      <c r="G189" s="321" t="str">
        <f t="shared" ref="G189:G190" si="6">IFERROR(AVERAGE(F189),"")</f>
        <v/>
      </c>
      <c r="H189" s="568" t="str">
        <f>IFERROR(ROUND(AVERAGE(G189:G191),2),"")</f>
        <v/>
      </c>
      <c r="I189" s="482" t="str">
        <f>IF(H189="","",IF(H189&gt;0.69,"Functioning",IF(H189&gt;0.29,"Functioning At Risk",IF(H189&gt;-1,"Not Functioning"))))</f>
        <v/>
      </c>
    </row>
    <row r="190" spans="1:9" ht="15.6" x14ac:dyDescent="0.3">
      <c r="A190" s="503"/>
      <c r="B190" s="323" t="s">
        <v>280</v>
      </c>
      <c r="C190" s="314" t="s">
        <v>281</v>
      </c>
      <c r="D190" s="315"/>
      <c r="E190" s="199"/>
      <c r="F190" s="320" t="str">
        <f>IF(E190="","",IF('Quantification Tool'!$B$11="2A",IF(E190&lt;=5.3,0,IF(E190&gt;=8.79,1,ROUND(E190*'Reference Curves'!$AA$50+'Reference Curves'!$AA$51,2))),IF('Quantification Tool'!$B$11=7,IF(E190&lt;=0.8,0,IF(E190&gt;=1.25,1,ROUND(E190*'Reference Curves'!$AC$50+'Reference Curves'!$AC$51,2))),IF(OR('Quantification Tool'!$B$11="2B", 'Quantification Tool'!$B$11="2Bd",'Quantification Tool'!$B$11="2C"),IF(E190&lt;=3.8,0,(IF(E190&gt;=6.24,1,ROUND(E190*'Reference Curves'!$AB$50+'Reference Curves'!$AB$51,2))))))))</f>
        <v/>
      </c>
      <c r="G190" s="321" t="str">
        <f t="shared" si="6"/>
        <v/>
      </c>
      <c r="H190" s="569"/>
      <c r="I190" s="482"/>
    </row>
    <row r="191" spans="1:9" ht="15.6" x14ac:dyDescent="0.3">
      <c r="A191" s="504"/>
      <c r="B191" s="289" t="s">
        <v>293</v>
      </c>
      <c r="C191" s="317" t="s">
        <v>294</v>
      </c>
      <c r="D191" s="318"/>
      <c r="E191" s="44"/>
      <c r="F191" s="320" t="str">
        <f>IF(E191="","",IF('Quantification Tool'!B$11="2A",IF(E191&gt;=12.5,0,IF(E191&lt;=7.5,1,ROUND(E191*'Reference Curves'!$AA$86+'Reference Curves'!$AA$87,2))),IF(OR('Quantification Tool'!B$11="2B",'Quantification Tool'!B$11="2Bd",'Quantification Tool'!B$11="2C"),IF('Quantification Tool'!B$12="North",IF(E191&gt;=18.8,0,IF(E191&lt;=11.3,1,ROUND(E191*'Reference Curves'!$AB$86+'Reference Curves'!$AB$87,2))),IF('Quantification Tool'!B$12="Central",(IF(E191&gt;=37.5,0,IF(E191&lt;=22.5,1,ROUND(E191*'Reference Curves'!$AC$86+'Reference Curves'!$AC$87,2)))),IF(E191&gt;=81.2,0,(IF(E191&lt;=48.7,1,ROUND(E191*'Reference Curves'!$AD$86+'Reference Curves'!$AD$87,2)))))))))</f>
        <v/>
      </c>
      <c r="G191" s="321" t="str">
        <f>IFERROR(AVERAGE(F191),"")</f>
        <v/>
      </c>
      <c r="H191" s="570"/>
      <c r="I191" s="482"/>
    </row>
    <row r="192" spans="1:9" ht="15.6" x14ac:dyDescent="0.3">
      <c r="A192" s="505" t="s">
        <v>52</v>
      </c>
      <c r="B192" s="204" t="s">
        <v>129</v>
      </c>
      <c r="C192" s="203" t="s">
        <v>226</v>
      </c>
      <c r="D192" s="88"/>
      <c r="E192" s="72"/>
      <c r="F192" s="89" t="str">
        <f>IF(E192="","",IF('Quantification Tool'!$B$17="Northern Forest Rivers",IF(E192&lt;=38.2,0,IF(E192&gt;=77,1,ROUND(IF(E192&lt;49, 'Reference Curves'!$AJ$18*E192+'Reference Curves'!$AJ$19, IF(E192&lt;59.8, 'Reference Curves'!$AK$18*E192+'Reference Curves'!$AK$19, 'Reference Curves'!$AL$18*E192+'Reference Curves'!$AL$19)),2))),   IF('Quantification Tool'!$B$17="Northern Forest Streams Riffle-run",IF(E192&lt;40.4,0,IF(E192&gt;=82,1,ROUND(IF(E192&lt;53, 'Reference Curves'!$AM$18*E192+'Reference Curves'!$AM$19, IF(E192&lt;59.8, 'Reference Curves'!$AN$18*E192+'Reference Curves'!$AN$19, 'Reference Curves'!$AO$18*E192+'Reference Curves'!$AO$19) ),2))), IF('Quantification Tool'!$B$17="Northern Forest Streams Glide-pool",IF(E192&lt;=37,0,IF(E192&gt;=76,1,ROUND(IF(E192&lt;51, 'Reference Curves'!$AP$18*E192+'Reference Curves'!$AP$19, IF(E192&lt;65.6, 'Reference Curves'!$AQ$18*E192+'Reference Curves'!$AQ$19, 'Reference Curves'!$AR$18*E192+'Reference Curves'!$AR$19) ),2))), IF('Quantification Tool'!$B$17="Northern Coldwater",IF(E192&lt;19.6,0,IF(E192&gt;=52,1,ROUND(IF(E192&lt;32, 'Reference Curves'!$AS$18*E192+'Reference Curves'!$AS$19, IF(E192&lt;44.4, 'Reference Curves'!$AT$18*E192+'Reference Curves'!$AT$19, 'Reference Curves'!$AU$18*E192+'Reference Curves'!$AU$19) ),2))), IF('Quantification Tool'!$B$17="Southern Forest Streams Riffle-run", IF(E192&lt;24,0,IF(E192&gt;=62,1,ROUND(IF(E192&lt;37, 'Reference Curves'!$AJ$65*E192+'Reference Curves'!$AJ$66, IF(E192&lt;49.6, 'Reference Curves'!$AK$65*E192+'Reference Curves'!$AK$66, 'Reference Curves'!$AL$65*E192+'Reference Curves'!$AL$66)),2))), IF('Quantification Tool'!$B$17="Southern Forest Streams Glide-pool", IF(E192&lt;29.4,0,IF(E192&gt;=65,1,ROUND(IF(E192&lt;43, 'Reference Curves'!$AM$65*E192+'Reference Curves'!$AM$66, IF(E192&lt;56.6, 'Reference Curves'!$AN$65*E192+'Reference Curves'!$AN$66, 'Reference Curves'!$AO$65*E192+'Reference Curves'!$AO$66)),2))), IF('Quantification Tool'!$B$17="Southern Coldwater", IF(E192&lt;29.2,0,IF(E192&gt;=72,1,ROUND(IF(E192&lt;43, 'Reference Curves'!$AP$65*E192+'Reference Curves'!$AP$66, IF(E192&lt;56.8, 'Reference Curves'!$AQ$65*E192+'Reference Curves'!$AQ$66, 'Reference Curves'!$AR$65*E192+'Reference Curves'!$AR$66)),2))), IF('Quantification Tool'!$B$17="Prairie Forest Rivers", IF(E192&lt;20.2,0,IF(E192&gt;=62,1,ROUND(IF(E192&lt;31, 'Reference Curves'!$AJ$110*E192+'Reference Curves'!$AJ$111, IF(E192&lt;41.8, 'Reference Curves'!$AK$110*E192+'Reference Curves'!$AK$111, 'Reference Curves'!$AL$110*E192+'Reference Curves'!$AL$111)),2))), IF('Quantification Tool'!$B$17="Prairie Streams Glide-Pool", IF(E192&lt;27.4,0,IF(E192&gt;=69,1,ROUND(IF(E192&lt;41, 'Reference Curves'!$AM$110*E192+'Reference Curves'!$AM$111, IF(E192&lt;54.6, 'Reference Curves'!$AN$110*E192+'Reference Curves'!$AN$111, 'Reference Curves'!$AO$110*E192+'Reference Curves'!$AO$111)),2))) ))))))))))</f>
        <v/>
      </c>
      <c r="G192" s="205" t="str">
        <f>IFERROR(AVERAGE(F192),"")</f>
        <v/>
      </c>
      <c r="H192" s="481" t="str">
        <f>IFERROR(ROUND(AVERAGE(G192:G193),2),"")</f>
        <v/>
      </c>
      <c r="I192" s="482" t="str">
        <f>IF(H192="","",IF(H192&gt;0.69,"Functioning",IF(H192&gt;0.29,"Functioning At Risk",IF(H192&gt;-1,"Not Functioning"))))</f>
        <v/>
      </c>
    </row>
    <row r="193" spans="1:9" ht="15.6" x14ac:dyDescent="0.3">
      <c r="A193" s="506"/>
      <c r="B193" s="206" t="s">
        <v>70</v>
      </c>
      <c r="C193" s="207" t="s">
        <v>227</v>
      </c>
      <c r="D193" s="208"/>
      <c r="E193" s="13"/>
      <c r="F193" s="89" t="str">
        <f>IF(E193="","",IF('Quantification Tool'!$B$18="Northern Rivers",IF(E193&lt;29,0,IF(E193&gt;=66,1,ROUND(IF(E193&lt;38, 'Reference Curves'!$AJ$156*E193+'Reference Curves'!$AJ$157, IF(E193&lt;47, 'Reference Curves'!$AK$156*E193+'Reference Curves'!$AK$157, 'Reference Curves'!$AL$156*E193+'Reference Curves'!$AL$157)),2))),   IF('Quantification Tool'!$B$18="Northern Streams",IF(E193&lt;35,0,IF(E193&gt;=61,1,ROUND(IF(E193&lt;47, 'Reference Curves'!$AM$156*E193+'Reference Curves'!$AM$157, IF(E193&lt;56, 'Reference Curves'!$AN$156*E193+'Reference Curves'!$AN$157, 'Reference Curves'!$AO$156*E193+'Reference Curves'!$AO$157) ),2))), IF('Quantification Tool'!$B$18="Northern Headwaters",IF(E193&lt;23,0,IF(E193&gt;=68,1,ROUND(IF(E193&lt;42, 'Reference Curves'!$AP$156*E193+'Reference Curves'!$AP$157, IF(E193&lt;56, 'Reference Curves'!$AQ$156*E193+'Reference Curves'!$AQ$157, 'Reference Curves'!$AR$156*E193+'Reference Curves'!$AR$157) ),2))), IF('Quantification Tool'!$B$18="Northern Coldwater",IF(E193&lt;25,0,IF(E193&gt;=60,1,ROUND(IF(E193&lt;35, 'Reference Curves'!$AS$156*E193+'Reference Curves'!$AS$157, IF(E193&lt;35, 'Reference Curves'!$AT$156*E193+'Reference Curves'!$AT$157, 'Reference Curves'!$AU$156*E193+'Reference Curves'!$AU$157) ),2))), IF('Quantification Tool'!$B$18="Southern River", IF(E193&lt;38,0,IF(E193&gt;=71,1,ROUND(IF(E193&lt;49, 'Reference Curves'!$AJ$203*E193+'Reference Curves'!$AJ$204, IF(E193&lt;60, 'Reference Curves'!$AK$203*E193+'Reference Curves'!$AK$204, 'Reference Curves'!$AL$203*E193+'Reference Curves'!$AL$204)),2))), IF('Quantification Tool'!$B$18="Southern Streams", IF(E193&lt;35,0,IF(E193&gt;=66,1,ROUND(IF(E193&lt;50, 'Reference Curves'!$AM$203*E193+'Reference Curves'!$AM$204, IF(E193&lt;59, 'Reference Curves'!$AN$203*E193+'Reference Curves'!$AN$204, 'Reference Curves'!$AO$203*E193+'Reference Curves'!$AO$204)),2))), IF('Quantification Tool'!$B$18="Southern Headwaters", IF(E193&lt;33,0,IF(E193&gt;=74,1,ROUND(IF(E193&lt;55, 'Reference Curves'!$AP$203*E193+'Reference Curves'!$AP$204, IF(E193&lt;62, 'Reference Curves'!$AQ$203*E193+'Reference Curves'!$AQ$204, 'Reference Curves'!$AR$203*E193+'Reference Curves'!$AR$204)),2))), IF('Quantification Tool'!$B$18="Southern Coldwater", IF(E193&lt;37,0,IF(E193&gt;=82,1,ROUND(IF(E193&lt;50, 'Reference Curves'!$AS$203*E193+'Reference Curves'!$AS$204, IF(E193&lt;63, 'Reference Curves'!$AT$203*E193+'Reference Curves'!$AT$204, 'Reference Curves'!$AU$203*E193+'Reference Curves'!$AU$204)),2))), IF('Quantification Tool'!$B$18="Low Gradient", IF(E193&lt;15,0,IF(E193&gt;=70,1,ROUND(IF(E193&lt;42, 'Reference Curves'!$AJ$247*E193+'Reference Curves'!$AJ$248, IF(E193&lt;52, 'Reference Curves'!$AK$247*E193+'Reference Curves'!$AK$248, 'Reference Curves'!$AL$247*E193+'Reference Curves'!$AL$248)),2))) ))))))))))</f>
        <v/>
      </c>
      <c r="G193" s="205" t="str">
        <f>IFERROR(AVERAGE(F193),"")</f>
        <v/>
      </c>
      <c r="H193" s="481"/>
      <c r="I193" s="482"/>
    </row>
    <row r="196" spans="1:9" ht="21" x14ac:dyDescent="0.4">
      <c r="A196" s="28" t="s">
        <v>120</v>
      </c>
      <c r="B196" s="166">
        <v>7</v>
      </c>
      <c r="C196" s="168" t="s">
        <v>186</v>
      </c>
      <c r="D196" s="586"/>
      <c r="E196" s="587"/>
      <c r="F196" s="588"/>
      <c r="G196" s="589" t="s">
        <v>14</v>
      </c>
      <c r="H196" s="590"/>
      <c r="I196" s="591"/>
    </row>
    <row r="197" spans="1:9" ht="15.6" x14ac:dyDescent="0.3">
      <c r="A197" s="34" t="s">
        <v>1</v>
      </c>
      <c r="B197" s="34" t="s">
        <v>2</v>
      </c>
      <c r="C197" s="154" t="s">
        <v>3</v>
      </c>
      <c r="D197" s="155"/>
      <c r="E197" s="34" t="s">
        <v>12</v>
      </c>
      <c r="F197" s="34" t="s">
        <v>13</v>
      </c>
      <c r="G197" s="34" t="s">
        <v>15</v>
      </c>
      <c r="H197" s="34" t="s">
        <v>16</v>
      </c>
      <c r="I197" s="34" t="s">
        <v>16</v>
      </c>
    </row>
    <row r="198" spans="1:9" ht="15.6" x14ac:dyDescent="0.3">
      <c r="A198" s="559" t="s">
        <v>201</v>
      </c>
      <c r="B198" s="563" t="s">
        <v>113</v>
      </c>
      <c r="C198" s="194" t="s">
        <v>169</v>
      </c>
      <c r="D198" s="195"/>
      <c r="E198" s="72"/>
      <c r="F198" s="197" t="str">
        <f>IF(E198="","",IF(E198&gt;=80,0,IF(E198&lt;=40,1,IF(E198&gt;=68,ROUND(E198*'Reference Curves'!$C$14+'Reference Curves'!$C$15,2),ROUND(E198*'Reference Curves'!$D$14+'Reference Curves'!$D$15,2)))))</f>
        <v/>
      </c>
      <c r="G198" s="487" t="str">
        <f>IFERROR(AVERAGE(F198:F200),"")</f>
        <v/>
      </c>
      <c r="H198" s="487" t="str">
        <f>IFERROR(ROUND(AVERAGE(G198:G200),2),"")</f>
        <v/>
      </c>
      <c r="I198" s="475" t="str">
        <f>IF(H198="","",IF(H198:H200&gt;0.69,"Functioning",IF(H198&gt;0.29,"Functioning At Risk",IF(H198&gt;-1,"Not Functioning"))))</f>
        <v/>
      </c>
    </row>
    <row r="199" spans="1:9" ht="15.6" x14ac:dyDescent="0.3">
      <c r="A199" s="560"/>
      <c r="B199" s="564"/>
      <c r="C199" s="262" t="s">
        <v>271</v>
      </c>
      <c r="D199" s="196"/>
      <c r="E199" s="199"/>
      <c r="F199" s="265" t="str">
        <f>IF(E199="","",  IF(E199&gt;0.95,0,IF(E199&lt;=0.02,1,ROUND(IF(E199&gt;0.26, 'Reference Curves'!$C$45*E199+'Reference Curves'!$C$46, IF(E199&lt;0.05, 'Reference Curves'!$E$45*E199+'Reference Curves'!$E$46, 'Reference Curves'!$D$45*E199+'Reference Curves'!$D$46)),2))) )</f>
        <v/>
      </c>
      <c r="G199" s="488"/>
      <c r="H199" s="488"/>
      <c r="I199" s="476"/>
    </row>
    <row r="200" spans="1:9" ht="15.6" customHeight="1" x14ac:dyDescent="0.3">
      <c r="A200" s="560"/>
      <c r="B200" s="565"/>
      <c r="C200" s="340" t="s">
        <v>302</v>
      </c>
      <c r="D200" s="341"/>
      <c r="E200" s="70"/>
      <c r="F200" s="312" t="str">
        <f>IF(E200="","",   IF(E200&gt;3.22,0, IF(E200&lt;0, "", ROUND('Reference Curves'!$C$74*E200+'Reference Curves'!$C$75,2))))</f>
        <v/>
      </c>
      <c r="G200" s="489"/>
      <c r="H200" s="488"/>
      <c r="I200" s="477"/>
    </row>
    <row r="201" spans="1:9" ht="15.6" x14ac:dyDescent="0.3">
      <c r="A201" s="561" t="s">
        <v>200</v>
      </c>
      <c r="B201" s="557" t="s">
        <v>5</v>
      </c>
      <c r="C201" s="74" t="s">
        <v>6</v>
      </c>
      <c r="D201" s="74"/>
      <c r="E201" s="72"/>
      <c r="F201" s="272" t="str">
        <f>IF(E201="","",ROUND(IF(E201&gt;1.71,0,IF(E201&lt;=1,1,E201*'Reference Curves'!K$13+'Reference Curves'!K$14)),2))</f>
        <v/>
      </c>
      <c r="G201" s="492" t="str">
        <f>IFERROR(AVERAGE(F201:F202),"")</f>
        <v/>
      </c>
      <c r="H201" s="492" t="str">
        <f>IFERROR(ROUND(AVERAGE(G201),2),"")</f>
        <v/>
      </c>
      <c r="I201" s="476" t="str">
        <f>IF(H201="","",IF(H201&gt;0.69,"Functioning",IF(H201&gt;0.29,"Functioning At Risk",IF(H201&gt;-1,"Not Functioning"))))</f>
        <v/>
      </c>
    </row>
    <row r="202" spans="1:9" ht="15.6" customHeight="1" x14ac:dyDescent="0.3">
      <c r="A202" s="562"/>
      <c r="B202" s="558"/>
      <c r="C202" s="75" t="s">
        <v>7</v>
      </c>
      <c r="D202" s="75"/>
      <c r="E202" s="73"/>
      <c r="F202" s="76" t="str">
        <f>IF(E202="","",IF(OR('Quantification Tool'!$B$9="A",'Quantification Tool'!$B$9="Ba",'Quantification Tool'!$B$9="B", 'Quantification Tool'!$B$9="Bc"),IF(E202&lt;1.2,0,IF(E202&gt;=2.2,1,ROUND(IF(E202&lt;1.4,E202*'Reference Curves'!$K$82+'Reference Curves'!$K$83,E202*'Reference Curves'!$L$82+'Reference Curves'!$L$83),2))),IF(OR('Quantification Tool'!$B$9="C",'Quantification Tool'!$B$9="Cb",'Quantification Tool'!$B$9="E"),IF(E202&lt;2,0,IF(E202&gt;=5,1,ROUND(IF(E202&lt;2.4,E202*'Reference Curves'!$L$47+'Reference Curves'!$L$48,E202*'Reference Curves'!$K$47+'Reference Curves'!$K$48),2))))))</f>
        <v/>
      </c>
      <c r="G202" s="493"/>
      <c r="H202" s="493"/>
      <c r="I202" s="477"/>
    </row>
    <row r="203" spans="1:9" ht="15.6" x14ac:dyDescent="0.3">
      <c r="A203" s="507" t="s">
        <v>20</v>
      </c>
      <c r="B203" s="507" t="s">
        <v>21</v>
      </c>
      <c r="C203" s="18" t="s">
        <v>19</v>
      </c>
      <c r="D203" s="77"/>
      <c r="E203" s="72"/>
      <c r="F203" s="78" t="str">
        <f>IF(E203="","",IF(E203&gt;=660,1,IF(E203&lt;=430,ROUND('Reference Curves'!$S$14*E203+'Reference Curves'!$S$15,2),ROUND('Reference Curves'!$T$14*E203+'Reference Curves'!$T$15,2))))</f>
        <v/>
      </c>
      <c r="G203" s="509" t="str">
        <f>IFERROR(AVERAGE(F203:F204),"")</f>
        <v/>
      </c>
      <c r="H203" s="509" t="str">
        <f>IFERROR(ROUND(AVERAGE(G203:G216),2),"")</f>
        <v/>
      </c>
      <c r="I203" s="516" t="str">
        <f>IF(H203="","",IF(H203&gt;0.69,"Functioning",IF(H203&gt;0.29,"Functioning At Risk",IF(H203&gt;-1,"Not Functioning"))))</f>
        <v/>
      </c>
    </row>
    <row r="204" spans="1:9" ht="15.6" x14ac:dyDescent="0.3">
      <c r="A204" s="511"/>
      <c r="B204" s="508"/>
      <c r="C204" s="17" t="s">
        <v>353</v>
      </c>
      <c r="D204" s="79"/>
      <c r="E204" s="73"/>
      <c r="F204" s="210" t="str">
        <f>IF(E204="","",IF(E204&gt;=28,1,ROUND(IF(E204&lt;=13,'Reference Curves'!$S$47*E204,'Reference Curves'!$T$47*E204+'Reference Curves'!$T$48),2)))</f>
        <v/>
      </c>
      <c r="G204" s="510"/>
      <c r="H204" s="515"/>
      <c r="I204" s="517"/>
    </row>
    <row r="205" spans="1:9" ht="15.6" x14ac:dyDescent="0.3">
      <c r="A205" s="511"/>
      <c r="B205" s="511" t="s">
        <v>196</v>
      </c>
      <c r="C205" s="80" t="s">
        <v>43</v>
      </c>
      <c r="D205" s="80"/>
      <c r="E205" s="199"/>
      <c r="F205" s="160" t="str">
        <f>IF(E205="","",IF(OR(E205="Ex/Ex",E205="Ex/VH",E205="Ex/H",E205="Ex/M",E205="VH/Ex",E205="VH/VH", E205="H/Ex",E205="H/VH"),0, IF(OR(E205="M/Ex"),0.1,IF(OR(E205="VH/H",E205="VH/M",E205="H/H",E205="H/M", E205="M/VH"),0.2, IF(OR(E205="Ex/VL",E205="Ex/L", E205="M/H"),0.3, IF(OR(E205="VH/L",E205="H/L"),0.4, IF(OR(E205="VH/VL",E205="H/VL",E205="M/M"),0.5, IF(OR(E205="M/L",E205="L/Ex"),0.6, IF(OR(E205="M/VL",E205="L/VH", E205="L/H",E205="L/M",E205="L/L",E205="L/VL",LEFT(E205)="V"),1)))))))))</f>
        <v/>
      </c>
      <c r="G205" s="515" t="str">
        <f>IFERROR(AVERAGE(F205:F207),"")</f>
        <v/>
      </c>
      <c r="H205" s="515"/>
      <c r="I205" s="517"/>
    </row>
    <row r="206" spans="1:9" ht="15.6" x14ac:dyDescent="0.3">
      <c r="A206" s="511"/>
      <c r="B206" s="511"/>
      <c r="C206" s="173" t="s">
        <v>79</v>
      </c>
      <c r="D206" s="173"/>
      <c r="E206" s="199"/>
      <c r="F206" s="160" t="str">
        <f>IF(E206="","",ROUND(IF(E206&gt;=75,0,IF(E206&lt;=5,1,IF(E206&gt;10,E206*'Reference Curves'!S$81+'Reference Curves'!S$82,'Reference Curves'!$T$81*E206+'Reference Curves'!$T$82))),2))</f>
        <v/>
      </c>
      <c r="G206" s="515"/>
      <c r="H206" s="515"/>
      <c r="I206" s="517"/>
    </row>
    <row r="207" spans="1:9" ht="15.6" x14ac:dyDescent="0.3">
      <c r="A207" s="511"/>
      <c r="B207" s="508"/>
      <c r="C207" s="176" t="s">
        <v>195</v>
      </c>
      <c r="D207" s="144"/>
      <c r="E207" s="73"/>
      <c r="F207" s="181" t="str">
        <f>IF(E207="","",IF(E207&gt;=50,0,ROUND(E207*'Reference Curves'!$S$112+'Reference Curves'!$S$113,2)))</f>
        <v/>
      </c>
      <c r="G207" s="510"/>
      <c r="H207" s="515"/>
      <c r="I207" s="517"/>
    </row>
    <row r="208" spans="1:9" ht="15.6" x14ac:dyDescent="0.3">
      <c r="A208" s="511"/>
      <c r="B208" s="87" t="s">
        <v>97</v>
      </c>
      <c r="C208" s="17" t="s">
        <v>115</v>
      </c>
      <c r="D208" s="80"/>
      <c r="E208" s="73"/>
      <c r="F208" s="157" t="str">
        <f>IF(OR(E208="",'Quantification Tool'!$B$14=""),"",IF(OR('Quantification Tool'!$B$14="Silt/Clay",'Quantification Tool'!$B$14="Sand",'Quantification Tool'!$B$14="Boulders",'Quantification Tool'!$B$14="Bedrock"),"NA",IF(E208&gt;0.1,1,IF(E208&lt;=0.01,0,ROUND(E208*'Reference Curves'!$S$143+'Reference Curves'!$S$144,2)))))</f>
        <v/>
      </c>
      <c r="G208" s="82" t="str">
        <f>IFERROR(AVERAGE(F208),"")</f>
        <v/>
      </c>
      <c r="H208" s="515"/>
      <c r="I208" s="517"/>
    </row>
    <row r="209" spans="1:9" ht="15.6" x14ac:dyDescent="0.3">
      <c r="A209" s="511"/>
      <c r="B209" s="507" t="s">
        <v>45</v>
      </c>
      <c r="C209" s="77" t="s">
        <v>46</v>
      </c>
      <c r="D209" s="77"/>
      <c r="E209" s="83"/>
      <c r="F209" s="84" t="str">
        <f>IF(E209="","", IF(OR(LEFT('Quantification Tool'!$B$9)="C",'Quantification Tool'!$B$9="E"), IF(OR(E209&lt;=1,E209&gt;=9),0,IF(AND(E209&gt;=3.5,E209&lt;=6),1,IF(E209&lt;3.5, ROUND(E209*'Reference Curves'!$S$243+'Reference Curves'!$S$244,2), ROUND(E209*'Reference Curves'!$T$243+'Reference Curves'!$T$244,2)))),   IF(OR(('Quantification Tool'!$B$9)="A",('Quantification Tool'!$B$9)="B",('Quantification Tool'!$B$9)="Ba"), IF(E209&gt;=6.5,0, IF(E209&lt;=4, 1, ROUND(E209^2*'Reference Curves'!$S$177+E209*'Reference Curves'!$S$178+'Reference Curves'!$S$179,2))), IF('Quantification Tool'!$B$9="Bc",  IF(E209&gt;=8,0, IF(E209&lt;=5, 1, ROUND(E209^2*'Reference Curves'!$S$209+E209*'Reference Curves'!$S$210+'Reference Curves'!$S$211,2)))))))</f>
        <v/>
      </c>
      <c r="G209" s="512" t="str">
        <f>IFERROR(AVERAGE(F209:F212),"")</f>
        <v/>
      </c>
      <c r="H209" s="515"/>
      <c r="I209" s="517"/>
    </row>
    <row r="210" spans="1:9" ht="15.6" x14ac:dyDescent="0.3">
      <c r="A210" s="511"/>
      <c r="B210" s="511"/>
      <c r="C210" s="80" t="s">
        <v>47</v>
      </c>
      <c r="D210" s="80"/>
      <c r="E210" s="81"/>
      <c r="F210" s="85" t="str">
        <f>IF(E210="","", ROUND(  IF(E210&lt;=1.1,0, IF(E210&gt;=3,1, IF(E210&lt;2, E210^2*'Reference Curves'!$S$276+  E210*'Reference Curves'!$S$277 + 'Reference Curves'!$S$278,     E210*'Reference Curves'!$T$277 + 'Reference Curves'!$T$278))),2))</f>
        <v/>
      </c>
      <c r="G210" s="513"/>
      <c r="H210" s="515"/>
      <c r="I210" s="517"/>
    </row>
    <row r="211" spans="1:9" ht="15.6" x14ac:dyDescent="0.3">
      <c r="A211" s="511"/>
      <c r="B211" s="511"/>
      <c r="C211" s="15" t="s">
        <v>173</v>
      </c>
      <c r="D211" s="80"/>
      <c r="E211" s="81"/>
      <c r="F211" s="391" t="str">
        <f>IF(E211="","", IF(OR('Quantification Tool'!$B$9="A",LEFT('Quantification Tool'!$B$9,1)="B"), IF(OR(E211&lt;=20,E211&gt;=90),0,IF(AND(E211&gt;=50,E211&lt;=60),1,IF(E211&lt;50, ROUND(E211*'Reference Curves'!$S$310+'Reference Curves'!$S$311,2),ROUND( E211*'Reference Curves'!$T$310+'Reference Curves'!$T$311,2)))),   IF(OR(LEFT('Quantification Tool'!$B$9)="C",'Quantification Tool'!$B$9="E"), IF(OR(E211&lt;=20,E211&gt;=85),0, IF(AND(E211&lt;=65,E211&gt;=45), 1, IF(E211&lt;45, ROUND(E211*'Reference Curves'!$S$343+'Reference Curves'!$S$344,2),ROUN(E211*'Reference Curves'!$T$343+'Reference Curves'!$T$344,2))))   )  ))</f>
        <v/>
      </c>
      <c r="G211" s="513"/>
      <c r="H211" s="515"/>
      <c r="I211" s="517"/>
    </row>
    <row r="212" spans="1:9" ht="15.6" x14ac:dyDescent="0.3">
      <c r="A212" s="511"/>
      <c r="B212" s="508"/>
      <c r="C212" s="79" t="s">
        <v>136</v>
      </c>
      <c r="D212" s="79"/>
      <c r="E212" s="86"/>
      <c r="F212" s="362" t="str">
        <f>IF(E212="","",IF(E212&gt;=1.6,0,IF(E212&lt;=1,1,ROUND('Reference Curves'!$S$375*E212^3+'Reference Curves'!$S$376*E212^2+'Reference Curves'!$S$377*E212+'Reference Curves'!$S$378,2))))</f>
        <v/>
      </c>
      <c r="G212" s="514"/>
      <c r="H212" s="515"/>
      <c r="I212" s="517"/>
    </row>
    <row r="213" spans="1:9" ht="15.6" x14ac:dyDescent="0.3">
      <c r="A213" s="511"/>
      <c r="B213" s="507" t="s">
        <v>44</v>
      </c>
      <c r="C213" s="16" t="s">
        <v>295</v>
      </c>
      <c r="D213" s="179"/>
      <c r="E213" s="180"/>
      <c r="F213" s="172" t="str">
        <f>IF(E213="","",IF('Quantification Tool'!$B$19="Unconfined Alluvial",IF(E213&gt;=100,1,IF(E213&lt;30,0,ROUND('Reference Curves'!$S$411*E213+'Reference Curves'!$S$412,2))),IF(OR('Quantification Tool'!$B$19="Confined Alluvial",'Quantification Tool'!$B$19="Colluvial/V-Shaped"),(IF(E213&gt;=100,1,IF(E213&lt;60,0,ROUND('Reference Curves'!$T$411*E213+'Reference Curves'!$T$412,2)))))))</f>
        <v/>
      </c>
      <c r="G213" s="512" t="str">
        <f>IFERROR(AVERAGE(F213:F216),"")</f>
        <v/>
      </c>
      <c r="H213" s="515"/>
      <c r="I213" s="517"/>
    </row>
    <row r="214" spans="1:9" ht="15.6" x14ac:dyDescent="0.3">
      <c r="A214" s="511"/>
      <c r="B214" s="511"/>
      <c r="C214" s="145" t="s">
        <v>297</v>
      </c>
      <c r="D214" s="169"/>
      <c r="E214" s="177"/>
      <c r="F214" s="85" t="str">
        <f>IF(E214="","",IF('Quantification Tool'!$B$10="Yes",IF(E214&lt;=50,0,IF(E214&gt;=80,1,ROUND('Reference Curves'!$S$445*E214+'Reference Curves'!$S$446,2))),IF('Quantification Tool'!$B$10="No",IF(E214&gt;=80,0,IF(E214&lt;=50,1,ROUND(E214*'Reference Curves'!$T$445+'Reference Curves'!$T$446,2))))))</f>
        <v/>
      </c>
      <c r="G214" s="513"/>
      <c r="H214" s="515"/>
      <c r="I214" s="517"/>
    </row>
    <row r="215" spans="1:9" ht="15.6" x14ac:dyDescent="0.3">
      <c r="A215" s="511"/>
      <c r="B215" s="519"/>
      <c r="C215" s="145" t="s">
        <v>189</v>
      </c>
      <c r="D215" s="169"/>
      <c r="E215" s="177"/>
      <c r="F215" s="85" t="str">
        <f>IF(E215="","",IF(E215&lt;=50,0,IF(E215&gt;=80,1, ROUND(E215*'Reference Curves'!$S$477+'Reference Curves'!$S$478,2))))</f>
        <v/>
      </c>
      <c r="G215" s="513"/>
      <c r="H215" s="515"/>
      <c r="I215" s="517"/>
    </row>
    <row r="216" spans="1:9" ht="15.6" x14ac:dyDescent="0.3">
      <c r="A216" s="508"/>
      <c r="B216" s="508"/>
      <c r="C216" s="520" t="s">
        <v>377</v>
      </c>
      <c r="D216" s="521"/>
      <c r="E216" s="178"/>
      <c r="F216" s="85" t="str">
        <f>IF(E216="","",IF('Quantification Tool'!$B$10="Yes",IF(E216&lt;=9,0,IF(E216&gt;=14,1,ROUND('Reference Curves'!$S$509*E216+'Reference Curves'!$S$510,2))),"FALSE"))</f>
        <v/>
      </c>
      <c r="G216" s="514"/>
      <c r="H216" s="510"/>
      <c r="I216" s="518"/>
    </row>
    <row r="217" spans="1:9" ht="15.6" x14ac:dyDescent="0.3">
      <c r="A217" s="502" t="s">
        <v>51</v>
      </c>
      <c r="B217" s="313" t="s">
        <v>74</v>
      </c>
      <c r="C217" s="314" t="s">
        <v>272</v>
      </c>
      <c r="D217" s="325"/>
      <c r="E217" s="44"/>
      <c r="F217" s="319" t="str">
        <f>IF(E217="","",  IF(E217&gt;=25,0,IF(E217&lt;=10,1,ROUND(IF(E217&gt;18, 'Reference Curves'!$AA$14*E217+'Reference Curves'!$AA$15, IF(E217&lt;12, 'Reference Curves'!$AC$14*E217+'Reference Curves'!$AC$15, 'Reference Curves'!$AB$14*E217+'Reference Curves'!$AB$15)),2))) )</f>
        <v/>
      </c>
      <c r="G217" s="321" t="str">
        <f t="shared" ref="G217:G218" si="7">IFERROR(AVERAGE(F217),"")</f>
        <v/>
      </c>
      <c r="H217" s="568" t="str">
        <f>IFERROR(ROUND(AVERAGE(G217:G219),2),"")</f>
        <v/>
      </c>
      <c r="I217" s="482" t="str">
        <f>IF(H217="","",IF(H217&gt;0.69,"Functioning",IF(H217&gt;0.29,"Functioning At Risk",IF(H217&gt;-1,"Not Functioning"))))</f>
        <v/>
      </c>
    </row>
    <row r="218" spans="1:9" ht="15.6" x14ac:dyDescent="0.3">
      <c r="A218" s="503"/>
      <c r="B218" s="323" t="s">
        <v>280</v>
      </c>
      <c r="C218" s="314" t="s">
        <v>281</v>
      </c>
      <c r="D218" s="325"/>
      <c r="E218" s="199"/>
      <c r="F218" s="320" t="str">
        <f>IF(E218="","",IF('Quantification Tool'!$B$11="2A",IF(E218&lt;=5.3,0,IF(E218&gt;=8.79,1,ROUND(E218*'Reference Curves'!$AA$50+'Reference Curves'!$AA$51,2))),IF('Quantification Tool'!$B$11=7,IF(E218&lt;=0.8,0,IF(E218&gt;=1.25,1,ROUND(E218*'Reference Curves'!$AC$50+'Reference Curves'!$AC$51,2))),IF(OR('Quantification Tool'!$B$11="2B", 'Quantification Tool'!$B$11="2Bd",'Quantification Tool'!$B$11="2C"),IF(E218&lt;=3.8,0,(IF(E218&gt;=6.24,1,ROUND(E218*'Reference Curves'!$AB$50+'Reference Curves'!$AB$51,2))))))))</f>
        <v/>
      </c>
      <c r="G218" s="321" t="str">
        <f t="shared" si="7"/>
        <v/>
      </c>
      <c r="H218" s="569"/>
      <c r="I218" s="482"/>
    </row>
    <row r="219" spans="1:9" ht="15.6" x14ac:dyDescent="0.3">
      <c r="A219" s="504"/>
      <c r="B219" s="289" t="s">
        <v>293</v>
      </c>
      <c r="C219" s="317" t="s">
        <v>294</v>
      </c>
      <c r="D219" s="327"/>
      <c r="E219" s="44"/>
      <c r="F219" s="320" t="str">
        <f>IF(E219="","",IF('Quantification Tool'!B$11="2A",IF(E219&gt;=12.5,0,IF(E219&lt;=7.5,1,ROUND(E219*'Reference Curves'!$AA$86+'Reference Curves'!$AA$87,2))),IF(OR('Quantification Tool'!B$11="2B",'Quantification Tool'!B$11="2Bd",'Quantification Tool'!B$11="2C"),IF('Quantification Tool'!B$12="North",IF(E219&gt;=18.8,0,IF(E219&lt;=11.3,1,ROUND(E219*'Reference Curves'!$AB$86+'Reference Curves'!$AB$87,2))),IF('Quantification Tool'!B$12="Central",(IF(E219&gt;=37.5,0,IF(E219&lt;=22.5,1,ROUND(E219*'Reference Curves'!$AC$86+'Reference Curves'!$AC$87,2)))),IF(E219&gt;=81.2,0,(IF(E219&lt;=48.7,1,ROUND(E219*'Reference Curves'!$AD$86+'Reference Curves'!$AD$87,2)))))))))</f>
        <v/>
      </c>
      <c r="G219" s="321" t="str">
        <f>IFERROR(AVERAGE(F219),"")</f>
        <v/>
      </c>
      <c r="H219" s="570"/>
      <c r="I219" s="482"/>
    </row>
    <row r="220" spans="1:9" ht="15.6" x14ac:dyDescent="0.3">
      <c r="A220" s="505" t="s">
        <v>52</v>
      </c>
      <c r="B220" s="204" t="s">
        <v>129</v>
      </c>
      <c r="C220" s="203" t="s">
        <v>226</v>
      </c>
      <c r="D220" s="88"/>
      <c r="E220" s="72"/>
      <c r="F220" s="89" t="str">
        <f>IF(E220="","",IF('Quantification Tool'!$B$17="Northern Forest Rivers",IF(E220&lt;=38.2,0,IF(E220&gt;=77,1,ROUND(IF(E220&lt;49, 'Reference Curves'!$AJ$18*E220+'Reference Curves'!$AJ$19, IF(E220&lt;59.8, 'Reference Curves'!$AK$18*E220+'Reference Curves'!$AK$19, 'Reference Curves'!$AL$18*E220+'Reference Curves'!$AL$19)),2))),   IF('Quantification Tool'!$B$17="Northern Forest Streams Riffle-run",IF(E220&lt;40.4,0,IF(E220&gt;=82,1,ROUND(IF(E220&lt;53, 'Reference Curves'!$AM$18*E220+'Reference Curves'!$AM$19, IF(E220&lt;59.8, 'Reference Curves'!$AN$18*E220+'Reference Curves'!$AN$19, 'Reference Curves'!$AO$18*E220+'Reference Curves'!$AO$19) ),2))), IF('Quantification Tool'!$B$17="Northern Forest Streams Glide-pool",IF(E220&lt;=37,0,IF(E220&gt;=76,1,ROUND(IF(E220&lt;51, 'Reference Curves'!$AP$18*E220+'Reference Curves'!$AP$19, IF(E220&lt;65.6, 'Reference Curves'!$AQ$18*E220+'Reference Curves'!$AQ$19, 'Reference Curves'!$AR$18*E220+'Reference Curves'!$AR$19) ),2))), IF('Quantification Tool'!$B$17="Northern Coldwater",IF(E220&lt;19.6,0,IF(E220&gt;=52,1,ROUND(IF(E220&lt;32, 'Reference Curves'!$AS$18*E220+'Reference Curves'!$AS$19, IF(E220&lt;44.4, 'Reference Curves'!$AT$18*E220+'Reference Curves'!$AT$19, 'Reference Curves'!$AU$18*E220+'Reference Curves'!$AU$19) ),2))), IF('Quantification Tool'!$B$17="Southern Forest Streams Riffle-run", IF(E220&lt;24,0,IF(E220&gt;=62,1,ROUND(IF(E220&lt;37, 'Reference Curves'!$AJ$65*E220+'Reference Curves'!$AJ$66, IF(E220&lt;49.6, 'Reference Curves'!$AK$65*E220+'Reference Curves'!$AK$66, 'Reference Curves'!$AL$65*E220+'Reference Curves'!$AL$66)),2))), IF('Quantification Tool'!$B$17="Southern Forest Streams Glide-pool", IF(E220&lt;29.4,0,IF(E220&gt;=65,1,ROUND(IF(E220&lt;43, 'Reference Curves'!$AM$65*E220+'Reference Curves'!$AM$66, IF(E220&lt;56.6, 'Reference Curves'!$AN$65*E220+'Reference Curves'!$AN$66, 'Reference Curves'!$AO$65*E220+'Reference Curves'!$AO$66)),2))), IF('Quantification Tool'!$B$17="Southern Coldwater", IF(E220&lt;29.2,0,IF(E220&gt;=72,1,ROUND(IF(E220&lt;43, 'Reference Curves'!$AP$65*E220+'Reference Curves'!$AP$66, IF(E220&lt;56.8, 'Reference Curves'!$AQ$65*E220+'Reference Curves'!$AQ$66, 'Reference Curves'!$AR$65*E220+'Reference Curves'!$AR$66)),2))), IF('Quantification Tool'!$B$17="Prairie Forest Rivers", IF(E220&lt;20.2,0,IF(E220&gt;=62,1,ROUND(IF(E220&lt;31, 'Reference Curves'!$AJ$110*E220+'Reference Curves'!$AJ$111, IF(E220&lt;41.8, 'Reference Curves'!$AK$110*E220+'Reference Curves'!$AK$111, 'Reference Curves'!$AL$110*E220+'Reference Curves'!$AL$111)),2))), IF('Quantification Tool'!$B$17="Prairie Streams Glide-Pool", IF(E220&lt;27.4,0,IF(E220&gt;=69,1,ROUND(IF(E220&lt;41, 'Reference Curves'!$AM$110*E220+'Reference Curves'!$AM$111, IF(E220&lt;54.6, 'Reference Curves'!$AN$110*E220+'Reference Curves'!$AN$111, 'Reference Curves'!$AO$110*E220+'Reference Curves'!$AO$111)),2))) ))))))))))</f>
        <v/>
      </c>
      <c r="G220" s="205" t="str">
        <f>IFERROR(AVERAGE(F220),"")</f>
        <v/>
      </c>
      <c r="H220" s="481" t="str">
        <f>IFERROR(ROUND(AVERAGE(G220:G221),2),"")</f>
        <v/>
      </c>
      <c r="I220" s="482" t="str">
        <f>IF(H220="","",IF(H220&gt;0.69,"Functioning",IF(H220&gt;0.29,"Functioning At Risk",IF(H220&gt;-1,"Not Functioning"))))</f>
        <v/>
      </c>
    </row>
    <row r="221" spans="1:9" ht="15.6" x14ac:dyDescent="0.3">
      <c r="A221" s="506"/>
      <c r="B221" s="206" t="s">
        <v>70</v>
      </c>
      <c r="C221" s="207" t="s">
        <v>227</v>
      </c>
      <c r="D221" s="208"/>
      <c r="E221" s="13"/>
      <c r="F221" s="89" t="str">
        <f>IF(E221="","",IF('Quantification Tool'!$B$18="Northern Rivers",IF(E221&lt;29,0,IF(E221&gt;=66,1,ROUND(IF(E221&lt;38, 'Reference Curves'!$AJ$156*E221+'Reference Curves'!$AJ$157, IF(E221&lt;47, 'Reference Curves'!$AK$156*E221+'Reference Curves'!$AK$157, 'Reference Curves'!$AL$156*E221+'Reference Curves'!$AL$157)),2))),   IF('Quantification Tool'!$B$18="Northern Streams",IF(E221&lt;35,0,IF(E221&gt;=61,1,ROUND(IF(E221&lt;47, 'Reference Curves'!$AM$156*E221+'Reference Curves'!$AM$157, IF(E221&lt;56, 'Reference Curves'!$AN$156*E221+'Reference Curves'!$AN$157, 'Reference Curves'!$AO$156*E221+'Reference Curves'!$AO$157) ),2))), IF('Quantification Tool'!$B$18="Northern Headwaters",IF(E221&lt;23,0,IF(E221&gt;=68,1,ROUND(IF(E221&lt;42, 'Reference Curves'!$AP$156*E221+'Reference Curves'!$AP$157, IF(E221&lt;56, 'Reference Curves'!$AQ$156*E221+'Reference Curves'!$AQ$157, 'Reference Curves'!$AR$156*E221+'Reference Curves'!$AR$157) ),2))), IF('Quantification Tool'!$B$18="Northern Coldwater",IF(E221&lt;25,0,IF(E221&gt;=60,1,ROUND(IF(E221&lt;35, 'Reference Curves'!$AS$156*E221+'Reference Curves'!$AS$157, IF(E221&lt;35, 'Reference Curves'!$AT$156*E221+'Reference Curves'!$AT$157, 'Reference Curves'!$AU$156*E221+'Reference Curves'!$AU$157) ),2))), IF('Quantification Tool'!$B$18="Southern River", IF(E221&lt;38,0,IF(E221&gt;=71,1,ROUND(IF(E221&lt;49, 'Reference Curves'!$AJ$203*E221+'Reference Curves'!$AJ$204, IF(E221&lt;60, 'Reference Curves'!$AK$203*E221+'Reference Curves'!$AK$204, 'Reference Curves'!$AL$203*E221+'Reference Curves'!$AL$204)),2))), IF('Quantification Tool'!$B$18="Southern Streams", IF(E221&lt;35,0,IF(E221&gt;=66,1,ROUND(IF(E221&lt;50, 'Reference Curves'!$AM$203*E221+'Reference Curves'!$AM$204, IF(E221&lt;59, 'Reference Curves'!$AN$203*E221+'Reference Curves'!$AN$204, 'Reference Curves'!$AO$203*E221+'Reference Curves'!$AO$204)),2))), IF('Quantification Tool'!$B$18="Southern Headwaters", IF(E221&lt;33,0,IF(E221&gt;=74,1,ROUND(IF(E221&lt;55, 'Reference Curves'!$AP$203*E221+'Reference Curves'!$AP$204, IF(E221&lt;62, 'Reference Curves'!$AQ$203*E221+'Reference Curves'!$AQ$204, 'Reference Curves'!$AR$203*E221+'Reference Curves'!$AR$204)),2))), IF('Quantification Tool'!$B$18="Southern Coldwater", IF(E221&lt;37,0,IF(E221&gt;=82,1,ROUND(IF(E221&lt;50, 'Reference Curves'!$AS$203*E221+'Reference Curves'!$AS$204, IF(E221&lt;63, 'Reference Curves'!$AT$203*E221+'Reference Curves'!$AT$204, 'Reference Curves'!$AU$203*E221+'Reference Curves'!$AU$204)),2))), IF('Quantification Tool'!$B$18="Low Gradient", IF(E221&lt;15,0,IF(E221&gt;=70,1,ROUND(IF(E221&lt;42, 'Reference Curves'!$AJ$247*E221+'Reference Curves'!$AJ$248, IF(E221&lt;52, 'Reference Curves'!$AK$247*E221+'Reference Curves'!$AK$248, 'Reference Curves'!$AL$247*E221+'Reference Curves'!$AL$248)),2))) ))))))))))</f>
        <v/>
      </c>
      <c r="G221" s="205" t="str">
        <f>IFERROR(AVERAGE(F221),"")</f>
        <v/>
      </c>
      <c r="H221" s="481"/>
      <c r="I221" s="482"/>
    </row>
    <row r="224" spans="1:9" ht="21" x14ac:dyDescent="0.4">
      <c r="A224" s="28" t="s">
        <v>120</v>
      </c>
      <c r="B224" s="166">
        <v>8</v>
      </c>
      <c r="C224" s="168" t="s">
        <v>186</v>
      </c>
      <c r="D224" s="586"/>
      <c r="E224" s="587"/>
      <c r="F224" s="588"/>
      <c r="G224" s="589" t="s">
        <v>14</v>
      </c>
      <c r="H224" s="590"/>
      <c r="I224" s="591"/>
    </row>
    <row r="225" spans="1:9" ht="15.6" x14ac:dyDescent="0.3">
      <c r="A225" s="34" t="s">
        <v>1</v>
      </c>
      <c r="B225" s="34" t="s">
        <v>2</v>
      </c>
      <c r="C225" s="154" t="s">
        <v>3</v>
      </c>
      <c r="D225" s="155"/>
      <c r="E225" s="34" t="s">
        <v>12</v>
      </c>
      <c r="F225" s="34" t="s">
        <v>13</v>
      </c>
      <c r="G225" s="34" t="s">
        <v>15</v>
      </c>
      <c r="H225" s="34" t="s">
        <v>16</v>
      </c>
      <c r="I225" s="34" t="s">
        <v>16</v>
      </c>
    </row>
    <row r="226" spans="1:9" ht="15.6" x14ac:dyDescent="0.3">
      <c r="A226" s="559" t="s">
        <v>201</v>
      </c>
      <c r="B226" s="563" t="s">
        <v>113</v>
      </c>
      <c r="C226" s="194" t="s">
        <v>169</v>
      </c>
      <c r="D226" s="195"/>
      <c r="E226" s="72"/>
      <c r="F226" s="197" t="str">
        <f>IF(E226="","",IF(E226&gt;=80,0,IF(E226&lt;=40,1,IF(E226&gt;=68,ROUND(E226*'Reference Curves'!$C$14+'Reference Curves'!$C$15,2),ROUND(E226*'Reference Curves'!$D$14+'Reference Curves'!$D$15,2)))))</f>
        <v/>
      </c>
      <c r="G226" s="487" t="str">
        <f>IFERROR(AVERAGE(F226:F228),"")</f>
        <v/>
      </c>
      <c r="H226" s="487" t="str">
        <f>IFERROR(ROUND(AVERAGE(G226:G228),2),"")</f>
        <v/>
      </c>
      <c r="I226" s="475" t="str">
        <f>IF(H226="","",IF(H226:H228&gt;0.69,"Functioning",IF(H226&gt;0.29,"Functioning At Risk",IF(H226&gt;-1,"Not Functioning"))))</f>
        <v/>
      </c>
    </row>
    <row r="227" spans="1:9" ht="15.6" x14ac:dyDescent="0.3">
      <c r="A227" s="560"/>
      <c r="B227" s="564"/>
      <c r="C227" s="262" t="s">
        <v>271</v>
      </c>
      <c r="D227" s="196"/>
      <c r="E227" s="199"/>
      <c r="F227" s="265" t="str">
        <f>IF(E227="","",  IF(E227&gt;0.95,0,IF(E227&lt;=0.02,1,ROUND(IF(E227&gt;0.26, 'Reference Curves'!$C$45*E227+'Reference Curves'!$C$46, IF(E227&lt;0.05, 'Reference Curves'!$E$45*E227+'Reference Curves'!$E$46, 'Reference Curves'!$D$45*E227+'Reference Curves'!$D$46)),2))) )</f>
        <v/>
      </c>
      <c r="G227" s="488"/>
      <c r="H227" s="488"/>
      <c r="I227" s="476"/>
    </row>
    <row r="228" spans="1:9" ht="15.6" customHeight="1" x14ac:dyDescent="0.3">
      <c r="A228" s="560"/>
      <c r="B228" s="565"/>
      <c r="C228" s="340" t="s">
        <v>302</v>
      </c>
      <c r="D228" s="341"/>
      <c r="E228" s="70"/>
      <c r="F228" s="312" t="str">
        <f>IF(E228="","",   IF(E228&gt;3.22,0, IF(E228&lt;0, "", ROUND('Reference Curves'!$C$74*E228+'Reference Curves'!$C$75,2))))</f>
        <v/>
      </c>
      <c r="G228" s="489"/>
      <c r="H228" s="488"/>
      <c r="I228" s="477"/>
    </row>
    <row r="229" spans="1:9" ht="15.6" x14ac:dyDescent="0.3">
      <c r="A229" s="561" t="s">
        <v>200</v>
      </c>
      <c r="B229" s="557" t="s">
        <v>5</v>
      </c>
      <c r="C229" s="74" t="s">
        <v>6</v>
      </c>
      <c r="D229" s="74"/>
      <c r="E229" s="72"/>
      <c r="F229" s="272" t="str">
        <f>IF(E229="","",ROUND(IF(E229&gt;1.71,0,IF(E229&lt;=1,1,E229*'Reference Curves'!K$13+'Reference Curves'!K$14)),2))</f>
        <v/>
      </c>
      <c r="G229" s="492" t="str">
        <f>IFERROR(AVERAGE(F229:F230),"")</f>
        <v/>
      </c>
      <c r="H229" s="492" t="str">
        <f>IFERROR(ROUND(AVERAGE(G229),2),"")</f>
        <v/>
      </c>
      <c r="I229" s="476" t="str">
        <f>IF(H229="","",IF(H229&gt;0.69,"Functioning",IF(H229&gt;0.29,"Functioning At Risk",IF(H229&gt;-1,"Not Functioning"))))</f>
        <v/>
      </c>
    </row>
    <row r="230" spans="1:9" ht="15.6" customHeight="1" x14ac:dyDescent="0.3">
      <c r="A230" s="562"/>
      <c r="B230" s="558"/>
      <c r="C230" s="75" t="s">
        <v>7</v>
      </c>
      <c r="D230" s="75"/>
      <c r="E230" s="73"/>
      <c r="F230" s="76" t="str">
        <f>IF(E230="","",IF(OR('Quantification Tool'!$B$9="A",'Quantification Tool'!$B$9="Ba",'Quantification Tool'!$B$9="B", 'Quantification Tool'!$B$9="Bc"),IF(E230&lt;1.2,0,IF(E230&gt;=2.2,1,ROUND(IF(E230&lt;1.4,E230*'Reference Curves'!$K$82+'Reference Curves'!$K$83,E230*'Reference Curves'!$L$82+'Reference Curves'!$L$83),2))),IF(OR('Quantification Tool'!$B$9="C",'Quantification Tool'!$B$9="Cb",'Quantification Tool'!$B$9="E"),IF(E230&lt;2,0,IF(E230&gt;=5,1,ROUND(IF(E230&lt;2.4,E230*'Reference Curves'!$L$47+'Reference Curves'!$L$48,E230*'Reference Curves'!$K$47+'Reference Curves'!$K$48),2))))))</f>
        <v/>
      </c>
      <c r="G230" s="493"/>
      <c r="H230" s="493"/>
      <c r="I230" s="477"/>
    </row>
    <row r="231" spans="1:9" ht="15.6" x14ac:dyDescent="0.3">
      <c r="A231" s="507" t="s">
        <v>20</v>
      </c>
      <c r="B231" s="507" t="s">
        <v>21</v>
      </c>
      <c r="C231" s="18" t="s">
        <v>19</v>
      </c>
      <c r="D231" s="77"/>
      <c r="E231" s="72"/>
      <c r="F231" s="78" t="str">
        <f>IF(E231="","",IF(E231&gt;=660,1,IF(E231&lt;=430,ROUND('Reference Curves'!$S$14*E231+'Reference Curves'!$S$15,2),ROUND('Reference Curves'!$T$14*E231+'Reference Curves'!$T$15,2))))</f>
        <v/>
      </c>
      <c r="G231" s="509" t="str">
        <f>IFERROR(AVERAGE(F231:F232),"")</f>
        <v/>
      </c>
      <c r="H231" s="509" t="str">
        <f>IFERROR(ROUND(AVERAGE(G231:G244),2),"")</f>
        <v/>
      </c>
      <c r="I231" s="516" t="str">
        <f>IF(H231="","",IF(H231&gt;0.69,"Functioning",IF(H231&gt;0.29,"Functioning At Risk",IF(H231&gt;-1,"Not Functioning"))))</f>
        <v/>
      </c>
    </row>
    <row r="232" spans="1:9" ht="15.6" x14ac:dyDescent="0.3">
      <c r="A232" s="511"/>
      <c r="B232" s="508"/>
      <c r="C232" s="17" t="s">
        <v>353</v>
      </c>
      <c r="D232" s="79"/>
      <c r="E232" s="73"/>
      <c r="F232" s="210" t="str">
        <f>IF(E232="","",IF(E232&gt;=28,1,ROUND(IF(E232&lt;=13,'Reference Curves'!$S$47*E232,'Reference Curves'!$T$47*E232+'Reference Curves'!$T$48),2)))</f>
        <v/>
      </c>
      <c r="G232" s="510"/>
      <c r="H232" s="515"/>
      <c r="I232" s="517"/>
    </row>
    <row r="233" spans="1:9" ht="15.6" x14ac:dyDescent="0.3">
      <c r="A233" s="511"/>
      <c r="B233" s="511" t="s">
        <v>196</v>
      </c>
      <c r="C233" s="80" t="s">
        <v>43</v>
      </c>
      <c r="D233" s="80"/>
      <c r="E233" s="199"/>
      <c r="F233" s="160" t="str">
        <f>IF(E233="","",IF(OR(E233="Ex/Ex",E233="Ex/VH",E233="Ex/H",E233="Ex/M",E233="VH/Ex",E233="VH/VH", E233="H/Ex",E233="H/VH"),0, IF(OR(E233="M/Ex"),0.1,IF(OR(E233="VH/H",E233="VH/M",E233="H/H",E233="H/M", E233="M/VH"),0.2, IF(OR(E233="Ex/VL",E233="Ex/L", E233="M/H"),0.3, IF(OR(E233="VH/L",E233="H/L"),0.4, IF(OR(E233="VH/VL",E233="H/VL",E233="M/M"),0.5, IF(OR(E233="M/L",E233="L/Ex"),0.6, IF(OR(E233="M/VL",E233="L/VH", E233="L/H",E233="L/M",E233="L/L",E233="L/VL",LEFT(E233)="V"),1)))))))))</f>
        <v/>
      </c>
      <c r="G233" s="515" t="str">
        <f>IFERROR(AVERAGE(F233:F235),"")</f>
        <v/>
      </c>
      <c r="H233" s="515"/>
      <c r="I233" s="517"/>
    </row>
    <row r="234" spans="1:9" ht="15.6" x14ac:dyDescent="0.3">
      <c r="A234" s="511"/>
      <c r="B234" s="511"/>
      <c r="C234" s="173" t="s">
        <v>79</v>
      </c>
      <c r="D234" s="173"/>
      <c r="E234" s="199"/>
      <c r="F234" s="160" t="str">
        <f>IF(E234="","",ROUND(IF(E234&gt;=75,0,IF(E234&lt;=5,1,IF(E234&gt;10,E234*'Reference Curves'!S$81+'Reference Curves'!S$82,'Reference Curves'!$T$81*E234+'Reference Curves'!$T$82))),2))</f>
        <v/>
      </c>
      <c r="G234" s="515"/>
      <c r="H234" s="515"/>
      <c r="I234" s="517"/>
    </row>
    <row r="235" spans="1:9" ht="15.6" x14ac:dyDescent="0.3">
      <c r="A235" s="511"/>
      <c r="B235" s="508"/>
      <c r="C235" s="176" t="s">
        <v>195</v>
      </c>
      <c r="D235" s="144"/>
      <c r="E235" s="73"/>
      <c r="F235" s="181" t="str">
        <f>IF(E235="","",IF(E235&gt;=50,0,ROUND(E235*'Reference Curves'!$S$112+'Reference Curves'!$S$113,2)))</f>
        <v/>
      </c>
      <c r="G235" s="510"/>
      <c r="H235" s="515"/>
      <c r="I235" s="517"/>
    </row>
    <row r="236" spans="1:9" ht="15.6" x14ac:dyDescent="0.3">
      <c r="A236" s="511"/>
      <c r="B236" s="87" t="s">
        <v>97</v>
      </c>
      <c r="C236" s="17" t="s">
        <v>115</v>
      </c>
      <c r="D236" s="80"/>
      <c r="E236" s="73"/>
      <c r="F236" s="157" t="str">
        <f>IF(OR(E236="",'Quantification Tool'!$B$14=""),"",IF(OR('Quantification Tool'!$B$14="Silt/Clay",'Quantification Tool'!$B$14="Sand",'Quantification Tool'!$B$14="Boulders",'Quantification Tool'!$B$14="Bedrock"),"NA",IF(E236&gt;0.1,1,IF(E236&lt;=0.01,0,ROUND(E236*'Reference Curves'!$S$143+'Reference Curves'!$S$144,2)))))</f>
        <v/>
      </c>
      <c r="G236" s="82" t="str">
        <f>IFERROR(AVERAGE(F236),"")</f>
        <v/>
      </c>
      <c r="H236" s="515"/>
      <c r="I236" s="517"/>
    </row>
    <row r="237" spans="1:9" ht="15.6" x14ac:dyDescent="0.3">
      <c r="A237" s="511"/>
      <c r="B237" s="507" t="s">
        <v>45</v>
      </c>
      <c r="C237" s="77" t="s">
        <v>46</v>
      </c>
      <c r="D237" s="77"/>
      <c r="E237" s="83"/>
      <c r="F237" s="84" t="str">
        <f>IF(E237="","", IF(OR(LEFT('Quantification Tool'!$B$9)="C",'Quantification Tool'!$B$9="E"), IF(OR(E237&lt;=1,E237&gt;=9),0,IF(AND(E237&gt;=3.5,E237&lt;=6),1,IF(E237&lt;3.5, ROUND(E237*'Reference Curves'!$S$243+'Reference Curves'!$S$244,2), ROUND(E237*'Reference Curves'!$T$243+'Reference Curves'!$T$244,2)))),   IF(OR(('Quantification Tool'!$B$9)="A",('Quantification Tool'!$B$9)="B",('Quantification Tool'!$B$9)="Ba"), IF(E237&gt;=6.5,0, IF(E237&lt;=4, 1, ROUND(E237^2*'Reference Curves'!$S$177+E237*'Reference Curves'!$S$178+'Reference Curves'!$S$179,2))), IF('Quantification Tool'!$B$9="Bc",  IF(E237&gt;=8,0, IF(E237&lt;=5, 1, ROUND(E237^2*'Reference Curves'!$S$209+E237*'Reference Curves'!$S$210+'Reference Curves'!$S$211,2)))))))</f>
        <v/>
      </c>
      <c r="G237" s="512" t="str">
        <f>IFERROR(AVERAGE(F237:F240),"")</f>
        <v/>
      </c>
      <c r="H237" s="515"/>
      <c r="I237" s="517"/>
    </row>
    <row r="238" spans="1:9" ht="15.6" x14ac:dyDescent="0.3">
      <c r="A238" s="511"/>
      <c r="B238" s="511"/>
      <c r="C238" s="80" t="s">
        <v>47</v>
      </c>
      <c r="D238" s="80"/>
      <c r="E238" s="81"/>
      <c r="F238" s="85" t="str">
        <f>IF(E238="","", ROUND(  IF(E238&lt;=1.1,0, IF(E238&gt;=3,1, IF(E238&lt;2, E238^2*'Reference Curves'!$S$276+  E238*'Reference Curves'!$S$277 + 'Reference Curves'!$S$278,    E238*'Reference Curves'!$T$277 + 'Reference Curves'!$T$278))),2))</f>
        <v/>
      </c>
      <c r="G238" s="513"/>
      <c r="H238" s="515"/>
      <c r="I238" s="517"/>
    </row>
    <row r="239" spans="1:9" ht="15.6" x14ac:dyDescent="0.3">
      <c r="A239" s="511"/>
      <c r="B239" s="511"/>
      <c r="C239" s="15" t="s">
        <v>173</v>
      </c>
      <c r="D239" s="80"/>
      <c r="E239" s="81"/>
      <c r="F239" s="391" t="str">
        <f>IF(E239="","", IF(OR('Quantification Tool'!$B$9="A",LEFT('Quantification Tool'!$B$9,1)="B"), IF(OR(E239&lt;=20,E239&gt;=90),0,IF(AND(E239&gt;=50,E239&lt;=60),1,IF(E239&lt;50, ROUND(E239*'Reference Curves'!$S$310+'Reference Curves'!$S$311,2),ROUND( E239*'Reference Curves'!$T$310+'Reference Curves'!$T$311,2)))),   IF(OR(LEFT('Quantification Tool'!$B$9)="C",'Quantification Tool'!$B$9="E"), IF(OR(E239&lt;=20,E239&gt;=85),0, IF(AND(E239&lt;=65,E239&gt;=45), 1, IF(E239&lt;45, ROUND(E239*'Reference Curves'!$S$343+'Reference Curves'!$S$344,2),ROUN(E239*'Reference Curves'!$T$343+'Reference Curves'!$T$344,2))))   )  ))</f>
        <v/>
      </c>
      <c r="G239" s="513"/>
      <c r="H239" s="515"/>
      <c r="I239" s="517"/>
    </row>
    <row r="240" spans="1:9" ht="15.6" x14ac:dyDescent="0.3">
      <c r="A240" s="511"/>
      <c r="B240" s="508"/>
      <c r="C240" s="79" t="s">
        <v>136</v>
      </c>
      <c r="D240" s="79"/>
      <c r="E240" s="86"/>
      <c r="F240" s="362" t="str">
        <f>IF(E240="","",IF(E240&gt;=1.6,0,IF(E240&lt;=1,1,ROUND('Reference Curves'!$S$375*E240^3+'Reference Curves'!$S$376*E240^2+'Reference Curves'!$S$377*E240+'Reference Curves'!$S$378,2))))</f>
        <v/>
      </c>
      <c r="G240" s="514"/>
      <c r="H240" s="515"/>
      <c r="I240" s="517"/>
    </row>
    <row r="241" spans="1:9" ht="15.6" x14ac:dyDescent="0.3">
      <c r="A241" s="511"/>
      <c r="B241" s="507" t="s">
        <v>44</v>
      </c>
      <c r="C241" s="16" t="s">
        <v>295</v>
      </c>
      <c r="D241" s="179"/>
      <c r="E241" s="180"/>
      <c r="F241" s="172" t="str">
        <f>IF(E241="","",IF('Quantification Tool'!$B$19="Unconfined Alluvial",IF(E241&gt;=100,1,IF(E241&lt;30,0,ROUND('Reference Curves'!$S$411*E241+'Reference Curves'!$S$412,2))),IF(OR('Quantification Tool'!$B$19="Confined Alluvial",'Quantification Tool'!$B$19="Colluvial/V-Shaped"),(IF(E241&gt;=100,1,IF(E241&lt;60,0,ROUND('Reference Curves'!$T$411*E241+'Reference Curves'!$T$412,2)))))))</f>
        <v/>
      </c>
      <c r="G241" s="512" t="str">
        <f>IFERROR(AVERAGE(F241:F244),"")</f>
        <v/>
      </c>
      <c r="H241" s="515"/>
      <c r="I241" s="517"/>
    </row>
    <row r="242" spans="1:9" ht="15.6" x14ac:dyDescent="0.3">
      <c r="A242" s="511"/>
      <c r="B242" s="511"/>
      <c r="C242" s="145" t="s">
        <v>297</v>
      </c>
      <c r="D242" s="169"/>
      <c r="E242" s="177"/>
      <c r="F242" s="85" t="str">
        <f>IF(E242="","",IF('Quantification Tool'!$B$10="Yes",IF(E242&lt;=50,0,IF(E242&gt;=80,1,ROUND('Reference Curves'!$S$445*E242+'Reference Curves'!$S$446,2))),IF('Quantification Tool'!$B$10="No",IF(E242&gt;=80,0,IF(E242&lt;=50,1,ROUND(E242*'Reference Curves'!$T$445+'Reference Curves'!$T$446,2))))))</f>
        <v/>
      </c>
      <c r="G242" s="513"/>
      <c r="H242" s="515"/>
      <c r="I242" s="517"/>
    </row>
    <row r="243" spans="1:9" ht="15.6" x14ac:dyDescent="0.3">
      <c r="A243" s="511"/>
      <c r="B243" s="519"/>
      <c r="C243" s="145" t="s">
        <v>189</v>
      </c>
      <c r="D243" s="169"/>
      <c r="E243" s="177"/>
      <c r="F243" s="85" t="str">
        <f>IF(E243="","",IF(E243&lt;=50,0,IF(E243&gt;=80,1, ROUND(E243*'Reference Curves'!$S$477+'Reference Curves'!$S$478,2))))</f>
        <v/>
      </c>
      <c r="G243" s="513"/>
      <c r="H243" s="515"/>
      <c r="I243" s="517"/>
    </row>
    <row r="244" spans="1:9" ht="15.6" x14ac:dyDescent="0.3">
      <c r="A244" s="508"/>
      <c r="B244" s="508"/>
      <c r="C244" s="520" t="s">
        <v>377</v>
      </c>
      <c r="D244" s="521"/>
      <c r="E244" s="178"/>
      <c r="F244" s="85" t="str">
        <f>IF(E244="","",IF('Quantification Tool'!$B$10="Yes",IF(E244&lt;=9,0,IF(E244&gt;=14,1,ROUND('Reference Curves'!$S$509*E244+'Reference Curves'!$S$510,2))),"FALSE"))</f>
        <v/>
      </c>
      <c r="G244" s="514"/>
      <c r="H244" s="510"/>
      <c r="I244" s="518"/>
    </row>
    <row r="245" spans="1:9" ht="15.6" x14ac:dyDescent="0.3">
      <c r="A245" s="502" t="s">
        <v>51</v>
      </c>
      <c r="B245" s="313" t="s">
        <v>74</v>
      </c>
      <c r="C245" s="314" t="s">
        <v>272</v>
      </c>
      <c r="D245" s="315"/>
      <c r="E245" s="44"/>
      <c r="F245" s="319" t="str">
        <f>IF(E245="","",  IF(E245&gt;=25,0,IF(E245&lt;=10,1,ROUND(IF(E245&gt;18, 'Reference Curves'!$AA$14*E245+'Reference Curves'!$AA$15, IF(E245&lt;12, 'Reference Curves'!$AC$14*E245+'Reference Curves'!$AC$15, 'Reference Curves'!$AB$14*E245+'Reference Curves'!$AB$15)),2))) )</f>
        <v/>
      </c>
      <c r="G245" s="321" t="str">
        <f t="shared" ref="G245:G246" si="8">IFERROR(AVERAGE(F245),"")</f>
        <v/>
      </c>
      <c r="H245" s="568" t="str">
        <f>IFERROR(ROUND(AVERAGE(G245:G247),2),"")</f>
        <v/>
      </c>
      <c r="I245" s="482" t="str">
        <f>IF(H245="","",IF(H245&gt;0.69,"Functioning",IF(H245&gt;0.29,"Functioning At Risk",IF(H245&gt;-1,"Not Functioning"))))</f>
        <v/>
      </c>
    </row>
    <row r="246" spans="1:9" ht="15.6" x14ac:dyDescent="0.3">
      <c r="A246" s="503"/>
      <c r="B246" s="323" t="s">
        <v>280</v>
      </c>
      <c r="C246" s="314" t="s">
        <v>281</v>
      </c>
      <c r="D246" s="315"/>
      <c r="E246" s="199"/>
      <c r="F246" s="320" t="str">
        <f>IF(E246="","",IF('Quantification Tool'!$B$11="2A",IF(E246&lt;=5.3,0,IF(E246&gt;=8.79,1,ROUND(E246*'Reference Curves'!$AA$50+'Reference Curves'!$AA$51,2))),IF('Quantification Tool'!$B$11=7,IF(E246&lt;=0.8,0,IF(E246&gt;=1.25,1,ROUND(E246*'Reference Curves'!$AC$50+'Reference Curves'!$AC$51,2))),IF(OR('Quantification Tool'!$B$11="2B", 'Quantification Tool'!$B$11="2Bd",'Quantification Tool'!$B$11="2C"),IF(E246&lt;=3.8,0,(IF(E246&gt;=6.24,1,ROUND(E246*'Reference Curves'!$AB$50+'Reference Curves'!$AB$51,2))))))))</f>
        <v/>
      </c>
      <c r="G246" s="321" t="str">
        <f t="shared" si="8"/>
        <v/>
      </c>
      <c r="H246" s="569"/>
      <c r="I246" s="482"/>
    </row>
    <row r="247" spans="1:9" ht="15.6" x14ac:dyDescent="0.3">
      <c r="A247" s="504"/>
      <c r="B247" s="289" t="s">
        <v>293</v>
      </c>
      <c r="C247" s="317" t="s">
        <v>294</v>
      </c>
      <c r="D247" s="318"/>
      <c r="E247" s="44"/>
      <c r="F247" s="320" t="str">
        <f>IF(E247="","",IF('Quantification Tool'!B$11="2A",IF(E247&gt;=12.5,0,IF(E247&lt;=7.5,1,ROUND(E247*'Reference Curves'!$AA$86+'Reference Curves'!$AA$87,2))),IF(OR('Quantification Tool'!B$11="2B",'Quantification Tool'!B$11="2Bd",'Quantification Tool'!B$11="2C"),IF('Quantification Tool'!B$12="North",IF(E247&gt;=18.8,0,IF(E247&lt;=11.3,1,ROUND(E247*'Reference Curves'!$AB$86+'Reference Curves'!$AB$87,2))),IF('Quantification Tool'!B$12="Central",(IF(E247&gt;=37.5,0,IF(E247&lt;=22.5,1,ROUND(E247*'Reference Curves'!$AC$86+'Reference Curves'!$AC$87,2)))),IF(E247&gt;=81.2,0,(IF(E247&lt;=48.7,1,ROUND(E247*'Reference Curves'!$AD$86+'Reference Curves'!$AD$87,2)))))))))</f>
        <v/>
      </c>
      <c r="G247" s="321" t="str">
        <f>IFERROR(AVERAGE(F247),"")</f>
        <v/>
      </c>
      <c r="H247" s="570"/>
      <c r="I247" s="482"/>
    </row>
    <row r="248" spans="1:9" ht="15.6" x14ac:dyDescent="0.3">
      <c r="A248" s="505" t="s">
        <v>52</v>
      </c>
      <c r="B248" s="204" t="s">
        <v>129</v>
      </c>
      <c r="C248" s="203" t="s">
        <v>226</v>
      </c>
      <c r="D248" s="88"/>
      <c r="E248" s="72"/>
      <c r="F248" s="89" t="str">
        <f>IF(E248="","",IF('Quantification Tool'!$B$17="Northern Forest Rivers",IF(E248&lt;=38.2,0,IF(E248&gt;=77,1,ROUND(IF(E248&lt;49, 'Reference Curves'!$AJ$18*E248+'Reference Curves'!$AJ$19, IF(E248&lt;59.8, 'Reference Curves'!$AK$18*E248+'Reference Curves'!$AK$19, 'Reference Curves'!$AL$18*E248+'Reference Curves'!$AL$19)),2))),   IF('Quantification Tool'!$B$17="Northern Forest Streams Riffle-run",IF(E248&lt;40.4,0,IF(E248&gt;=82,1,ROUND(IF(E248&lt;53, 'Reference Curves'!$AM$18*E248+'Reference Curves'!$AM$19, IF(E248&lt;59.8, 'Reference Curves'!$AN$18*E248+'Reference Curves'!$AN$19, 'Reference Curves'!$AO$18*E248+'Reference Curves'!$AO$19) ),2))), IF('Quantification Tool'!$B$17="Northern Forest Streams Glide-pool",IF(E248&lt;=37,0,IF(E248&gt;=76,1,ROUND(IF(E248&lt;51, 'Reference Curves'!$AP$18*E248+'Reference Curves'!$AP$19, IF(E248&lt;65.6, 'Reference Curves'!$AQ$18*E248+'Reference Curves'!$AQ$19, 'Reference Curves'!$AR$18*E248+'Reference Curves'!$AR$19) ),2))), IF('Quantification Tool'!$B$17="Northern Coldwater",IF(E248&lt;19.6,0,IF(E248&gt;=52,1,ROUND(IF(E248&lt;32, 'Reference Curves'!$AS$18*E248+'Reference Curves'!$AS$19, IF(E248&lt;44.4, 'Reference Curves'!$AT$18*E248+'Reference Curves'!$AT$19, 'Reference Curves'!$AU$18*E248+'Reference Curves'!$AU$19) ),2))), IF('Quantification Tool'!$B$17="Southern Forest Streams Riffle-run", IF(E248&lt;24,0,IF(E248&gt;=62,1,ROUND(IF(E248&lt;37, 'Reference Curves'!$AJ$65*E248+'Reference Curves'!$AJ$66, IF(E248&lt;49.6, 'Reference Curves'!$AK$65*E248+'Reference Curves'!$AK$66, 'Reference Curves'!$AL$65*E248+'Reference Curves'!$AL$66)),2))), IF('Quantification Tool'!$B$17="Southern Forest Streams Glide-pool", IF(E248&lt;29.4,0,IF(E248&gt;=65,1,ROUND(IF(E248&lt;43, 'Reference Curves'!$AM$65*E248+'Reference Curves'!$AM$66, IF(E248&lt;56.6, 'Reference Curves'!$AN$65*E248+'Reference Curves'!$AN$66, 'Reference Curves'!$AO$65*E248+'Reference Curves'!$AO$66)),2))), IF('Quantification Tool'!$B$17="Southern Coldwater", IF(E248&lt;29.2,0,IF(E248&gt;=72,1,ROUND(IF(E248&lt;43, 'Reference Curves'!$AP$65*E248+'Reference Curves'!$AP$66, IF(E248&lt;56.8, 'Reference Curves'!$AQ$65*E248+'Reference Curves'!$AQ$66, 'Reference Curves'!$AR$65*E248+'Reference Curves'!$AR$66)),2))), IF('Quantification Tool'!$B$17="Prairie Forest Rivers", IF(E248&lt;20.2,0,IF(E248&gt;=62,1,ROUND(IF(E248&lt;31, 'Reference Curves'!$AJ$110*E248+'Reference Curves'!$AJ$111, IF(E248&lt;41.8, 'Reference Curves'!$AK$110*E248+'Reference Curves'!$AK$111, 'Reference Curves'!$AL$110*E248+'Reference Curves'!$AL$111)),2))), IF('Quantification Tool'!$B$17="Prairie Streams Glide-Pool", IF(E248&lt;27.4,0,IF(E248&gt;=69,1,ROUND(IF(E248&lt;41, 'Reference Curves'!$AM$110*E248+'Reference Curves'!$AM$111, IF(E248&lt;54.6, 'Reference Curves'!$AN$110*E248+'Reference Curves'!$AN$111, 'Reference Curves'!$AO$110*E248+'Reference Curves'!$AO$111)),2))) ))))))))))</f>
        <v/>
      </c>
      <c r="G248" s="205" t="str">
        <f>IFERROR(AVERAGE(F248),"")</f>
        <v/>
      </c>
      <c r="H248" s="481" t="str">
        <f>IFERROR(ROUND(AVERAGE(G248:G249),2),"")</f>
        <v/>
      </c>
      <c r="I248" s="482" t="str">
        <f>IF(H248="","",IF(H248&gt;0.69,"Functioning",IF(H248&gt;0.29,"Functioning At Risk",IF(H248&gt;-1,"Not Functioning"))))</f>
        <v/>
      </c>
    </row>
    <row r="249" spans="1:9" ht="15.6" x14ac:dyDescent="0.3">
      <c r="A249" s="506"/>
      <c r="B249" s="206" t="s">
        <v>70</v>
      </c>
      <c r="C249" s="207" t="s">
        <v>227</v>
      </c>
      <c r="D249" s="208"/>
      <c r="E249" s="13"/>
      <c r="F249" s="89" t="str">
        <f>IF(E249="","",IF('Quantification Tool'!$B$18="Northern Rivers",IF(E249&lt;29,0,IF(E249&gt;=66,1,ROUND(IF(E249&lt;38, 'Reference Curves'!$AJ$156*E249+'Reference Curves'!$AJ$157, IF(E249&lt;47, 'Reference Curves'!$AK$156*E249+'Reference Curves'!$AK$157, 'Reference Curves'!$AL$156*E249+'Reference Curves'!$AL$157)),2))),   IF('Quantification Tool'!$B$18="Northern Streams",IF(E249&lt;35,0,IF(E249&gt;=61,1,ROUND(IF(E249&lt;47, 'Reference Curves'!$AM$156*E249+'Reference Curves'!$AM$157, IF(E249&lt;56, 'Reference Curves'!$AN$156*E249+'Reference Curves'!$AN$157, 'Reference Curves'!$AO$156*E249+'Reference Curves'!$AO$157) ),2))), IF('Quantification Tool'!$B$18="Northern Headwaters",IF(E249&lt;23,0,IF(E249&gt;=68,1,ROUND(IF(E249&lt;42, 'Reference Curves'!$AP$156*E249+'Reference Curves'!$AP$157, IF(E249&lt;56, 'Reference Curves'!$AQ$156*E249+'Reference Curves'!$AQ$157, 'Reference Curves'!$AR$156*E249+'Reference Curves'!$AR$157) ),2))), IF('Quantification Tool'!$B$18="Northern Coldwater",IF(E249&lt;25,0,IF(E249&gt;=60,1,ROUND(IF(E249&lt;35, 'Reference Curves'!$AS$156*E249+'Reference Curves'!$AS$157, IF(E249&lt;35, 'Reference Curves'!$AT$156*E249+'Reference Curves'!$AT$157, 'Reference Curves'!$AU$156*E249+'Reference Curves'!$AU$157) ),2))), IF('Quantification Tool'!$B$18="Southern River", IF(E249&lt;38,0,IF(E249&gt;=71,1,ROUND(IF(E249&lt;49, 'Reference Curves'!$AJ$203*E249+'Reference Curves'!$AJ$204, IF(E249&lt;60, 'Reference Curves'!$AK$203*E249+'Reference Curves'!$AK$204, 'Reference Curves'!$AL$203*E249+'Reference Curves'!$AL$204)),2))), IF('Quantification Tool'!$B$18="Southern Streams", IF(E249&lt;35,0,IF(E249&gt;=66,1,ROUND(IF(E249&lt;50, 'Reference Curves'!$AM$203*E249+'Reference Curves'!$AM$204, IF(E249&lt;59, 'Reference Curves'!$AN$203*E249+'Reference Curves'!$AN$204, 'Reference Curves'!$AO$203*E249+'Reference Curves'!$AO$204)),2))), IF('Quantification Tool'!$B$18="Southern Headwaters", IF(E249&lt;33,0,IF(E249&gt;=74,1,ROUND(IF(E249&lt;55, 'Reference Curves'!$AP$203*E249+'Reference Curves'!$AP$204, IF(E249&lt;62, 'Reference Curves'!$AQ$203*E249+'Reference Curves'!$AQ$204, 'Reference Curves'!$AR$203*E249+'Reference Curves'!$AR$204)),2))), IF('Quantification Tool'!$B$18="Southern Coldwater", IF(E249&lt;37,0,IF(E249&gt;=82,1,ROUND(IF(E249&lt;50, 'Reference Curves'!$AS$203*E249+'Reference Curves'!$AS$204, IF(E249&lt;63, 'Reference Curves'!$AT$203*E249+'Reference Curves'!$AT$204, 'Reference Curves'!$AU$203*E249+'Reference Curves'!$AU$204)),2))), IF('Quantification Tool'!$B$18="Low Gradient", IF(E249&lt;15,0,IF(E249&gt;=70,1,ROUND(IF(E249&lt;42, 'Reference Curves'!$AJ$247*E249+'Reference Curves'!$AJ$248, IF(E249&lt;52, 'Reference Curves'!$AK$247*E249+'Reference Curves'!$AK$248, 'Reference Curves'!$AL$247*E249+'Reference Curves'!$AL$248)),2))) ))))))))))</f>
        <v/>
      </c>
      <c r="G249" s="205" t="str">
        <f>IFERROR(AVERAGE(F249),"")</f>
        <v/>
      </c>
      <c r="H249" s="481"/>
      <c r="I249" s="482"/>
    </row>
    <row r="252" spans="1:9" ht="21" x14ac:dyDescent="0.4">
      <c r="A252" s="28" t="s">
        <v>120</v>
      </c>
      <c r="B252" s="166">
        <v>9</v>
      </c>
      <c r="C252" s="168" t="s">
        <v>186</v>
      </c>
      <c r="D252" s="586"/>
      <c r="E252" s="587"/>
      <c r="F252" s="588"/>
      <c r="G252" s="589" t="s">
        <v>14</v>
      </c>
      <c r="H252" s="590"/>
      <c r="I252" s="591"/>
    </row>
    <row r="253" spans="1:9" ht="16.5" customHeight="1" x14ac:dyDescent="0.3">
      <c r="A253" s="34" t="s">
        <v>1</v>
      </c>
      <c r="B253" s="34" t="s">
        <v>2</v>
      </c>
      <c r="C253" s="154" t="s">
        <v>3</v>
      </c>
      <c r="D253" s="155"/>
      <c r="E253" s="34" t="s">
        <v>12</v>
      </c>
      <c r="F253" s="34" t="s">
        <v>13</v>
      </c>
      <c r="G253" s="34" t="s">
        <v>15</v>
      </c>
      <c r="H253" s="34" t="s">
        <v>16</v>
      </c>
      <c r="I253" s="34" t="s">
        <v>16</v>
      </c>
    </row>
    <row r="254" spans="1:9" ht="15.75" customHeight="1" x14ac:dyDescent="0.3">
      <c r="A254" s="559" t="s">
        <v>201</v>
      </c>
      <c r="B254" s="563" t="s">
        <v>113</v>
      </c>
      <c r="C254" s="194" t="s">
        <v>169</v>
      </c>
      <c r="D254" s="195"/>
      <c r="E254" s="72"/>
      <c r="F254" s="197" t="str">
        <f>IF(E254="","",IF(E254&gt;=80,0,IF(E254&lt;=40,1,IF(E254&gt;=68,ROUND(E254*'Reference Curves'!$C$14+'Reference Curves'!$C$15,2),ROUND(E254*'Reference Curves'!$D$14+'Reference Curves'!$D$15,2)))))</f>
        <v/>
      </c>
      <c r="G254" s="487" t="str">
        <f>IFERROR(AVERAGE(F254:F256),"")</f>
        <v/>
      </c>
      <c r="H254" s="487" t="str">
        <f>IFERROR(ROUND(AVERAGE(G254:G256),2),"")</f>
        <v/>
      </c>
      <c r="I254" s="475" t="str">
        <f>IF(H254="","",IF(H254:H256&gt;0.69,"Functioning",IF(H254&gt;0.29,"Functioning At Risk",IF(H254&gt;-1,"Not Functioning"))))</f>
        <v/>
      </c>
    </row>
    <row r="255" spans="1:9" ht="15.75" customHeight="1" x14ac:dyDescent="0.3">
      <c r="A255" s="560"/>
      <c r="B255" s="564"/>
      <c r="C255" s="262" t="s">
        <v>271</v>
      </c>
      <c r="D255" s="196"/>
      <c r="E255" s="199"/>
      <c r="F255" s="265" t="str">
        <f>IF(E255="","",  IF(E255&gt;0.95,0,IF(E255&lt;=0.02,1,ROUND(IF(E255&gt;0.26, 'Reference Curves'!$C$45*E255+'Reference Curves'!$C$46, IF(E255&lt;0.05, 'Reference Curves'!$E$45*E255+'Reference Curves'!$E$46, 'Reference Curves'!$D$45*E255+'Reference Curves'!$D$46)),2))) )</f>
        <v/>
      </c>
      <c r="G255" s="488"/>
      <c r="H255" s="488"/>
      <c r="I255" s="476"/>
    </row>
    <row r="256" spans="1:9" ht="15.75" customHeight="1" x14ac:dyDescent="0.3">
      <c r="A256" s="560"/>
      <c r="B256" s="565"/>
      <c r="C256" s="340" t="s">
        <v>302</v>
      </c>
      <c r="D256" s="341"/>
      <c r="E256" s="70"/>
      <c r="F256" s="312" t="str">
        <f>IF(E256="","",   IF(E256&gt;3.22,0, IF(E256&lt;0, "", ROUND('Reference Curves'!$C$74*E256+'Reference Curves'!$C$75,2))))</f>
        <v/>
      </c>
      <c r="G256" s="489"/>
      <c r="H256" s="488"/>
      <c r="I256" s="477"/>
    </row>
    <row r="257" spans="1:9" ht="15.75" customHeight="1" x14ac:dyDescent="0.3">
      <c r="A257" s="561" t="s">
        <v>200</v>
      </c>
      <c r="B257" s="557" t="s">
        <v>5</v>
      </c>
      <c r="C257" s="74" t="s">
        <v>6</v>
      </c>
      <c r="D257" s="74"/>
      <c r="E257" s="72"/>
      <c r="F257" s="272" t="str">
        <f>IF(E257="","",ROUND(IF(E257&gt;1.71,0,IF(E257&lt;=1,1,E257*'Reference Curves'!K$13+'Reference Curves'!K$14)),2))</f>
        <v/>
      </c>
      <c r="G257" s="492" t="str">
        <f>IFERROR(AVERAGE(F257:F258),"")</f>
        <v/>
      </c>
      <c r="H257" s="492" t="str">
        <f>IFERROR(ROUND(AVERAGE(G257),2),"")</f>
        <v/>
      </c>
      <c r="I257" s="476" t="str">
        <f>IF(H257="","",IF(H257&gt;0.69,"Functioning",IF(H257&gt;0.29,"Functioning At Risk",IF(H257&gt;-1,"Not Functioning"))))</f>
        <v/>
      </c>
    </row>
    <row r="258" spans="1:9" ht="15" customHeight="1" x14ac:dyDescent="0.3">
      <c r="A258" s="562"/>
      <c r="B258" s="558"/>
      <c r="C258" s="75" t="s">
        <v>7</v>
      </c>
      <c r="D258" s="75"/>
      <c r="E258" s="73"/>
      <c r="F258" s="76" t="str">
        <f>IF(E258="","",IF(OR('Quantification Tool'!$B$9="A",'Quantification Tool'!$B$9="Ba",'Quantification Tool'!$B$9="B", 'Quantification Tool'!$B$9="Bc"),IF(E258&lt;1.2,0,IF(E258&gt;=2.2,1,ROUND(IF(E258&lt;1.4,E258*'Reference Curves'!$K$82+'Reference Curves'!$K$83,E258*'Reference Curves'!$L$82+'Reference Curves'!$L$83),2))),IF(OR('Quantification Tool'!$B$9="C",'Quantification Tool'!$B$9="Cb",'Quantification Tool'!$B$9="E"),IF(E258&lt;2,0,IF(E258&gt;=5,1,ROUND(IF(E258&lt;2.4,E258*'Reference Curves'!$L$47+'Reference Curves'!$L$48,E258*'Reference Curves'!$K$47+'Reference Curves'!$K$48),2))))))</f>
        <v/>
      </c>
      <c r="G258" s="493"/>
      <c r="H258" s="493"/>
      <c r="I258" s="477"/>
    </row>
    <row r="259" spans="1:9" ht="15" customHeight="1" x14ac:dyDescent="0.3">
      <c r="A259" s="507" t="s">
        <v>20</v>
      </c>
      <c r="B259" s="507" t="s">
        <v>21</v>
      </c>
      <c r="C259" s="18" t="s">
        <v>19</v>
      </c>
      <c r="D259" s="77"/>
      <c r="E259" s="72"/>
      <c r="F259" s="78" t="str">
        <f>IF(E259="","",IF(E259&gt;=660,1,IF(E259&lt;=430,ROUND('Reference Curves'!$S$14*E259+'Reference Curves'!$S$15,2),ROUND('Reference Curves'!$T$14*E259+'Reference Curves'!$T$15,2))))</f>
        <v/>
      </c>
      <c r="G259" s="509" t="str">
        <f>IFERROR(AVERAGE(F259:F260),"")</f>
        <v/>
      </c>
      <c r="H259" s="509" t="str">
        <f>IFERROR(ROUND(AVERAGE(G259:G272),2),"")</f>
        <v/>
      </c>
      <c r="I259" s="516" t="str">
        <f>IF(H259="","",IF(H259&gt;0.69,"Functioning",IF(H259&gt;0.29,"Functioning At Risk",IF(H259&gt;-1,"Not Functioning"))))</f>
        <v/>
      </c>
    </row>
    <row r="260" spans="1:9" ht="15" customHeight="1" x14ac:dyDescent="0.3">
      <c r="A260" s="511"/>
      <c r="B260" s="508"/>
      <c r="C260" s="17" t="s">
        <v>353</v>
      </c>
      <c r="D260" s="79"/>
      <c r="E260" s="73"/>
      <c r="F260" s="210" t="str">
        <f>IF(E260="","",IF(E260&gt;=28,1,ROUND(IF(E260&lt;=13,'Reference Curves'!$S$47*E260,'Reference Curves'!$T$47*E260+'Reference Curves'!$T$48),2)))</f>
        <v/>
      </c>
      <c r="G260" s="510"/>
      <c r="H260" s="515"/>
      <c r="I260" s="517"/>
    </row>
    <row r="261" spans="1:9" ht="15.6" x14ac:dyDescent="0.3">
      <c r="A261" s="511"/>
      <c r="B261" s="511" t="s">
        <v>196</v>
      </c>
      <c r="C261" s="80" t="s">
        <v>43</v>
      </c>
      <c r="D261" s="80"/>
      <c r="E261" s="199"/>
      <c r="F261" s="160" t="str">
        <f>IF(E261="","",IF(OR(E261="Ex/Ex",E261="Ex/VH",E261="Ex/H",E261="Ex/M",E261="VH/Ex",E261="VH/VH", E261="H/Ex",E261="H/VH"),0, IF(OR(E261="M/Ex"),0.1,IF(OR(E261="VH/H",E261="VH/M",E261="H/H",E261="H/M", E261="M/VH"),0.2, IF(OR(E261="Ex/VL",E261="Ex/L", E261="M/H"),0.3, IF(OR(E261="VH/L",E261="H/L"),0.4, IF(OR(E261="VH/VL",E261="H/VL",E261="M/M"),0.5, IF(OR(E261="M/L",E261="L/Ex"),0.6, IF(OR(E261="M/VL",E261="L/VH", E261="L/H",E261="L/M",E261="L/L",E261="L/VL",LEFT(E261)="V"),1)))))))))</f>
        <v/>
      </c>
      <c r="G261" s="515" t="str">
        <f>IFERROR(AVERAGE(F261:F263),"")</f>
        <v/>
      </c>
      <c r="H261" s="515"/>
      <c r="I261" s="517"/>
    </row>
    <row r="262" spans="1:9" ht="15.6" x14ac:dyDescent="0.3">
      <c r="A262" s="511"/>
      <c r="B262" s="511"/>
      <c r="C262" s="173" t="s">
        <v>79</v>
      </c>
      <c r="D262" s="173"/>
      <c r="E262" s="199"/>
      <c r="F262" s="160" t="str">
        <f>IF(E262="","",ROUND(IF(E262&gt;=75,0,IF(E262&lt;=5,1,IF(E262&gt;10,E262*'Reference Curves'!S$81+'Reference Curves'!S$82,'Reference Curves'!$T$81*E262+'Reference Curves'!$T$82))),2))</f>
        <v/>
      </c>
      <c r="G262" s="515"/>
      <c r="H262" s="515"/>
      <c r="I262" s="517"/>
    </row>
    <row r="263" spans="1:9" ht="15.6" x14ac:dyDescent="0.3">
      <c r="A263" s="511"/>
      <c r="B263" s="508"/>
      <c r="C263" s="176" t="s">
        <v>195</v>
      </c>
      <c r="D263" s="144"/>
      <c r="E263" s="73"/>
      <c r="F263" s="181" t="str">
        <f>IF(E263="","",IF(E263&gt;=50,0,ROUND(E263*'Reference Curves'!$S$112+'Reference Curves'!$S$113,2)))</f>
        <v/>
      </c>
      <c r="G263" s="510"/>
      <c r="H263" s="515"/>
      <c r="I263" s="517"/>
    </row>
    <row r="264" spans="1:9" ht="15.6" x14ac:dyDescent="0.3">
      <c r="A264" s="511"/>
      <c r="B264" s="87" t="s">
        <v>97</v>
      </c>
      <c r="C264" s="17" t="s">
        <v>115</v>
      </c>
      <c r="D264" s="80"/>
      <c r="E264" s="73"/>
      <c r="F264" s="157" t="str">
        <f>IF(OR(E264="",'Quantification Tool'!$B$14=""),"",IF(OR('Quantification Tool'!$B$14="Silt/Clay",'Quantification Tool'!$B$14="Sand",'Quantification Tool'!$B$14="Boulders",'Quantification Tool'!$B$14="Bedrock"),"NA",IF(E264&gt;0.1,1,IF(E264&lt;=0.01,0,ROUND(E264*'Reference Curves'!$S$143+'Reference Curves'!$S$144,2)))))</f>
        <v/>
      </c>
      <c r="G264" s="82" t="str">
        <f>IFERROR(AVERAGE(F264),"")</f>
        <v/>
      </c>
      <c r="H264" s="515"/>
      <c r="I264" s="517"/>
    </row>
    <row r="265" spans="1:9" ht="15.6" x14ac:dyDescent="0.3">
      <c r="A265" s="511"/>
      <c r="B265" s="507" t="s">
        <v>45</v>
      </c>
      <c r="C265" s="77" t="s">
        <v>46</v>
      </c>
      <c r="D265" s="77"/>
      <c r="E265" s="83"/>
      <c r="F265" s="84" t="str">
        <f>IF(E265="","", IF(OR(LEFT('Quantification Tool'!$B$9)="C",'Quantification Tool'!$B$9="E"), IF(OR(E265&lt;=1,E265&gt;=9),0,IF(AND(E265&gt;=3.5,E265&lt;=6),1,IF(E265&lt;3.5, ROUND(E265*'Reference Curves'!$S$243+'Reference Curves'!$S$244,2), ROUND(E265*'Reference Curves'!$T$243+'Reference Curves'!$T$244,2)))),   IF(OR(('Quantification Tool'!$B$9)="A",('Quantification Tool'!$B$9)="B",('Quantification Tool'!$B$9)="Ba"), IF(E265&gt;=6.5,0, IF(E265&lt;=4, 1, ROUND(E265^2*'Reference Curves'!$S$177+E265*'Reference Curves'!$S$178+'Reference Curves'!$S$179,2))), IF('Quantification Tool'!$B$9="Bc",  IF(E265&gt;=8,0, IF(E265&lt;=5, 1, ROUND(E265^2*'Reference Curves'!$S$209+E265*'Reference Curves'!$S$210+'Reference Curves'!$S$211,2)))))))</f>
        <v/>
      </c>
      <c r="G265" s="512" t="str">
        <f>IFERROR(AVERAGE(F265:F268),"")</f>
        <v/>
      </c>
      <c r="H265" s="515"/>
      <c r="I265" s="517"/>
    </row>
    <row r="266" spans="1:9" ht="15.6" x14ac:dyDescent="0.3">
      <c r="A266" s="511"/>
      <c r="B266" s="511"/>
      <c r="C266" s="80" t="s">
        <v>47</v>
      </c>
      <c r="D266" s="80"/>
      <c r="E266" s="81"/>
      <c r="F266" s="85" t="str">
        <f>IF(E266="","", ROUND(  IF(E266&lt;=1.1,0, IF(E266&gt;=3,1, IF(E266&lt;2, E266^2*'Reference Curves'!$S$276+  E266*'Reference Curves'!$S$277 + 'Reference Curves'!$S$278,     E266*'Reference Curves'!$T$277 + 'Reference Curves'!$T$278))),2))</f>
        <v/>
      </c>
      <c r="G266" s="513"/>
      <c r="H266" s="515"/>
      <c r="I266" s="517"/>
    </row>
    <row r="267" spans="1:9" ht="15.6" x14ac:dyDescent="0.3">
      <c r="A267" s="511"/>
      <c r="B267" s="511"/>
      <c r="C267" s="15" t="s">
        <v>173</v>
      </c>
      <c r="D267" s="80"/>
      <c r="E267" s="81"/>
      <c r="F267" s="391" t="str">
        <f>IF(E267="","", IF(OR('Quantification Tool'!$B$9="A",LEFT('Quantification Tool'!$B$9,1)="B"), IF(OR(E267&lt;=20,E267&gt;=90),0,IF(AND(E267&gt;=50,E267&lt;=60),1,IF(E267&lt;50, ROUND(E267*'Reference Curves'!$S$310+'Reference Curves'!$S$311,2),ROUND( E267*'Reference Curves'!$T$310+'Reference Curves'!$T$311,2)))),   IF(OR(LEFT('Quantification Tool'!$B$9)="C",'Quantification Tool'!$B$9="E"), IF(OR(E267&lt;=20,E267&gt;=85),0, IF(AND(E267&lt;=65,E267&gt;=45), 1, IF(E267&lt;45, ROUND(E267*'Reference Curves'!$S$343+'Reference Curves'!$S$344,2),ROUN(E267*'Reference Curves'!$T$343+'Reference Curves'!$T$344,2))))   )  ))</f>
        <v/>
      </c>
      <c r="G267" s="513"/>
      <c r="H267" s="515"/>
      <c r="I267" s="517"/>
    </row>
    <row r="268" spans="1:9" ht="15.6" x14ac:dyDescent="0.3">
      <c r="A268" s="511"/>
      <c r="B268" s="508"/>
      <c r="C268" s="79" t="s">
        <v>136</v>
      </c>
      <c r="D268" s="79"/>
      <c r="E268" s="86"/>
      <c r="F268" s="362" t="str">
        <f>IF(E268="","",IF(E268&gt;=1.6,0,IF(E268&lt;=1,1,ROUND('Reference Curves'!$S$375*E268^3+'Reference Curves'!$S$376*E268^2+'Reference Curves'!$S$377*E268+'Reference Curves'!$S$378,2))))</f>
        <v/>
      </c>
      <c r="G268" s="514"/>
      <c r="H268" s="515"/>
      <c r="I268" s="517"/>
    </row>
    <row r="269" spans="1:9" ht="15.6" x14ac:dyDescent="0.3">
      <c r="A269" s="511"/>
      <c r="B269" s="507" t="s">
        <v>44</v>
      </c>
      <c r="C269" s="16" t="s">
        <v>295</v>
      </c>
      <c r="D269" s="179"/>
      <c r="E269" s="180"/>
      <c r="F269" s="172" t="str">
        <f>IF(E269="","",IF('Quantification Tool'!$B$19="Unconfined Alluvial",IF(E269&gt;=100,1,IF(E269&lt;30,0,ROUND('Reference Curves'!$S$411*E269+'Reference Curves'!$S$412,2))),IF(OR('Quantification Tool'!$B$19="Confined Alluvial",'Quantification Tool'!$B$19="Colluvial/V-Shaped"),(IF(E269&gt;=100,1,IF(E269&lt;60,0,ROUND('Reference Curves'!$T$411*E269+'Reference Curves'!$T$412,2)))))))</f>
        <v/>
      </c>
      <c r="G269" s="512" t="str">
        <f>IFERROR(AVERAGE(F269:F272),"")</f>
        <v/>
      </c>
      <c r="H269" s="515"/>
      <c r="I269" s="517"/>
    </row>
    <row r="270" spans="1:9" ht="15.6" x14ac:dyDescent="0.3">
      <c r="A270" s="511"/>
      <c r="B270" s="511"/>
      <c r="C270" s="145" t="s">
        <v>297</v>
      </c>
      <c r="D270" s="169"/>
      <c r="E270" s="177"/>
      <c r="F270" s="85" t="str">
        <f>IF(E270="","",IF('Quantification Tool'!$B$10="Yes",IF(E270&lt;=50,0,IF(E270&gt;=80,1,ROUND('Reference Curves'!$S$445*E270+'Reference Curves'!$S$446,2))),IF('Quantification Tool'!$B$10="No",IF(E270&gt;=80,0,IF(E270&lt;=50,1,ROUND(E270*'Reference Curves'!$T$445+'Reference Curves'!$T$446,2))))))</f>
        <v/>
      </c>
      <c r="G270" s="513"/>
      <c r="H270" s="515"/>
      <c r="I270" s="517"/>
    </row>
    <row r="271" spans="1:9" ht="15.6" x14ac:dyDescent="0.3">
      <c r="A271" s="511"/>
      <c r="B271" s="519"/>
      <c r="C271" s="145" t="s">
        <v>189</v>
      </c>
      <c r="D271" s="169"/>
      <c r="E271" s="177"/>
      <c r="F271" s="85" t="str">
        <f>IF(E271="","",IF(E271&lt;=50,0,IF(E271&gt;=80,1, ROUND(E271*'Reference Curves'!$S$477+'Reference Curves'!$S$478,2))))</f>
        <v/>
      </c>
      <c r="G271" s="513"/>
      <c r="H271" s="515"/>
      <c r="I271" s="517"/>
    </row>
    <row r="272" spans="1:9" ht="15.6" x14ac:dyDescent="0.3">
      <c r="A272" s="508"/>
      <c r="B272" s="508"/>
      <c r="C272" s="520" t="s">
        <v>377</v>
      </c>
      <c r="D272" s="521"/>
      <c r="E272" s="178"/>
      <c r="F272" s="85" t="str">
        <f>IF(E272="","",IF('Quantification Tool'!$B$10="Yes",IF(E272&lt;=9,0,IF(E272&gt;=14,1,ROUND('Reference Curves'!$S$509*E272+'Reference Curves'!$S$510,2))),"FALSE"))</f>
        <v/>
      </c>
      <c r="G272" s="514"/>
      <c r="H272" s="510"/>
      <c r="I272" s="518"/>
    </row>
    <row r="273" spans="1:9" ht="15.6" x14ac:dyDescent="0.3">
      <c r="A273" s="502" t="s">
        <v>51</v>
      </c>
      <c r="B273" s="313" t="s">
        <v>74</v>
      </c>
      <c r="C273" s="314" t="s">
        <v>272</v>
      </c>
      <c r="D273" s="325"/>
      <c r="E273" s="44"/>
      <c r="F273" s="319" t="str">
        <f>IF(E273="","",  IF(E273&gt;=25,0,IF(E273&lt;=10,1,ROUND(IF(E273&gt;18, 'Reference Curves'!$AA$14*E273+'Reference Curves'!$AA$15, IF(E273&lt;12, 'Reference Curves'!$AC$14*E273+'Reference Curves'!$AC$15, 'Reference Curves'!$AB$14*E273+'Reference Curves'!$AB$15)),2))) )</f>
        <v/>
      </c>
      <c r="G273" s="321" t="str">
        <f t="shared" ref="G273:G274" si="9">IFERROR(AVERAGE(F273),"")</f>
        <v/>
      </c>
      <c r="H273" s="568" t="str">
        <f>IFERROR(ROUND(AVERAGE(G273:G275),2),"")</f>
        <v/>
      </c>
      <c r="I273" s="482" t="str">
        <f>IF(H273="","",IF(H273&gt;0.69,"Functioning",IF(H273&gt;0.29,"Functioning At Risk",IF(H273&gt;-1,"Not Functioning"))))</f>
        <v/>
      </c>
    </row>
    <row r="274" spans="1:9" ht="15.6" x14ac:dyDescent="0.3">
      <c r="A274" s="503"/>
      <c r="B274" s="323" t="s">
        <v>280</v>
      </c>
      <c r="C274" s="314" t="s">
        <v>281</v>
      </c>
      <c r="D274" s="315"/>
      <c r="E274" s="199"/>
      <c r="F274" s="320" t="str">
        <f>IF(E274="","",IF('Quantification Tool'!$B$11="2A",IF(E274&lt;=5.3,0,IF(E274&gt;=8.79,1,ROUND(E274*'Reference Curves'!$AA$50+'Reference Curves'!$AA$51,2))),IF('Quantification Tool'!$B$11=7,IF(E274&lt;=0.8,0,IF(E274&gt;=1.25,1,ROUND(E274*'Reference Curves'!$AC$50+'Reference Curves'!$AC$51,2))),IF(OR('Quantification Tool'!$B$11="2B", 'Quantification Tool'!$B$11="2Bd",'Quantification Tool'!$B$11="2C"),IF(E274&lt;=3.8,0,(IF(E274&gt;=6.24,1,ROUND(E274*'Reference Curves'!$AB$50+'Reference Curves'!$AB$51,2))))))))</f>
        <v/>
      </c>
      <c r="G274" s="321" t="str">
        <f t="shared" si="9"/>
        <v/>
      </c>
      <c r="H274" s="569"/>
      <c r="I274" s="482"/>
    </row>
    <row r="275" spans="1:9" ht="15.6" x14ac:dyDescent="0.3">
      <c r="A275" s="504"/>
      <c r="B275" s="289" t="s">
        <v>293</v>
      </c>
      <c r="C275" s="317" t="s">
        <v>294</v>
      </c>
      <c r="D275" s="318"/>
      <c r="E275" s="44"/>
      <c r="F275" s="320" t="str">
        <f>IF(E275="","",IF('Quantification Tool'!B$11="2A",IF(E275&gt;=12.5,0,IF(E275&lt;=7.5,1,ROUND(E275*'Reference Curves'!$AA$86+'Reference Curves'!$AA$87,2))),IF(OR('Quantification Tool'!B$11="2B",'Quantification Tool'!B$11="2Bd",'Quantification Tool'!B$11="2C"),IF('Quantification Tool'!B$12="North",IF(E275&gt;=18.8,0,IF(E275&lt;=11.3,1,ROUND(E275*'Reference Curves'!$AB$86+'Reference Curves'!$AB$87,2))),IF('Quantification Tool'!B$12="Central",(IF(E275&gt;=37.5,0,IF(E275&lt;=22.5,1,ROUND(E275*'Reference Curves'!$AC$86+'Reference Curves'!$AC$87,2)))),IF(E275&gt;=81.2,0,(IF(E275&lt;=48.7,1,ROUND(E275*'Reference Curves'!$AD$86+'Reference Curves'!$AD$87,2)))))))))</f>
        <v/>
      </c>
      <c r="G275" s="321" t="str">
        <f>IFERROR(AVERAGE(F275),"")</f>
        <v/>
      </c>
      <c r="H275" s="570"/>
      <c r="I275" s="482"/>
    </row>
    <row r="276" spans="1:9" ht="15.6" x14ac:dyDescent="0.3">
      <c r="A276" s="505" t="s">
        <v>52</v>
      </c>
      <c r="B276" s="204" t="s">
        <v>129</v>
      </c>
      <c r="C276" s="203" t="s">
        <v>226</v>
      </c>
      <c r="D276" s="88"/>
      <c r="E276" s="72"/>
      <c r="F276" s="89" t="str">
        <f>IF(E276="","",IF('Quantification Tool'!$B$17="Northern Forest Rivers",IF(E276&lt;=38.2,0,IF(E276&gt;=77,1,ROUND(IF(E276&lt;49, 'Reference Curves'!$AJ$18*E276+'Reference Curves'!$AJ$19, IF(E276&lt;59.8, 'Reference Curves'!$AK$18*E276+'Reference Curves'!$AK$19, 'Reference Curves'!$AL$18*E276+'Reference Curves'!$AL$19)),2))),   IF('Quantification Tool'!$B$17="Northern Forest Streams Riffle-run",IF(E276&lt;40.4,0,IF(E276&gt;=82,1,ROUND(IF(E276&lt;53, 'Reference Curves'!$AM$18*E276+'Reference Curves'!$AM$19, IF(E276&lt;59.8, 'Reference Curves'!$AN$18*E276+'Reference Curves'!$AN$19, 'Reference Curves'!$AO$18*E276+'Reference Curves'!$AO$19) ),2))), IF('Quantification Tool'!$B$17="Northern Forest Streams Glide-pool",IF(E276&lt;=37,0,IF(E276&gt;=76,1,ROUND(IF(E276&lt;51, 'Reference Curves'!$AP$18*E276+'Reference Curves'!$AP$19, IF(E276&lt;65.6, 'Reference Curves'!$AQ$18*E276+'Reference Curves'!$AQ$19, 'Reference Curves'!$AR$18*E276+'Reference Curves'!$AR$19) ),2))), IF('Quantification Tool'!$B$17="Northern Coldwater",IF(E276&lt;19.6,0,IF(E276&gt;=52,1,ROUND(IF(E276&lt;32, 'Reference Curves'!$AS$18*E276+'Reference Curves'!$AS$19, IF(E276&lt;44.4, 'Reference Curves'!$AT$18*E276+'Reference Curves'!$AT$19, 'Reference Curves'!$AU$18*E276+'Reference Curves'!$AU$19) ),2))), IF('Quantification Tool'!$B$17="Southern Forest Streams Riffle-run", IF(E276&lt;24,0,IF(E276&gt;=62,1,ROUND(IF(E276&lt;37, 'Reference Curves'!$AJ$65*E276+'Reference Curves'!$AJ$66, IF(E276&lt;49.6, 'Reference Curves'!$AK$65*E276+'Reference Curves'!$AK$66, 'Reference Curves'!$AL$65*E276+'Reference Curves'!$AL$66)),2))), IF('Quantification Tool'!$B$17="Southern Forest Streams Glide-pool", IF(E276&lt;29.4,0,IF(E276&gt;=65,1,ROUND(IF(E276&lt;43, 'Reference Curves'!$AM$65*E276+'Reference Curves'!$AM$66, IF(E276&lt;56.6, 'Reference Curves'!$AN$65*E276+'Reference Curves'!$AN$66, 'Reference Curves'!$AO$65*E276+'Reference Curves'!$AO$66)),2))), IF('Quantification Tool'!$B$17="Southern Coldwater", IF(E276&lt;29.2,0,IF(E276&gt;=72,1,ROUND(IF(E276&lt;43, 'Reference Curves'!$AP$65*E276+'Reference Curves'!$AP$66, IF(E276&lt;56.8, 'Reference Curves'!$AQ$65*E276+'Reference Curves'!$AQ$66, 'Reference Curves'!$AR$65*E276+'Reference Curves'!$AR$66)),2))), IF('Quantification Tool'!$B$17="Prairie Forest Rivers", IF(E276&lt;20.2,0,IF(E276&gt;=62,1,ROUND(IF(E276&lt;31, 'Reference Curves'!$AJ$110*E276+'Reference Curves'!$AJ$111, IF(E276&lt;41.8, 'Reference Curves'!$AK$110*E276+'Reference Curves'!$AK$111, 'Reference Curves'!$AL$110*E276+'Reference Curves'!$AL$111)),2))), IF('Quantification Tool'!$B$17="Prairie Streams Glide-Pool", IF(E276&lt;27.4,0,IF(E276&gt;=69,1,ROUND(IF(E276&lt;41, 'Reference Curves'!$AM$110*E276+'Reference Curves'!$AM$111, IF(E276&lt;54.6, 'Reference Curves'!$AN$110*E276+'Reference Curves'!$AN$111, 'Reference Curves'!$AO$110*E276+'Reference Curves'!$AO$111)),2))) ))))))))))</f>
        <v/>
      </c>
      <c r="G276" s="205" t="str">
        <f>IFERROR(AVERAGE(F276),"")</f>
        <v/>
      </c>
      <c r="H276" s="481" t="str">
        <f>IFERROR(ROUND(AVERAGE(G276:G277),2),"")</f>
        <v/>
      </c>
      <c r="I276" s="482" t="str">
        <f>IF(H276="","",IF(H276&gt;0.69,"Functioning",IF(H276&gt;0.29,"Functioning At Risk",IF(H276&gt;-1,"Not Functioning"))))</f>
        <v/>
      </c>
    </row>
    <row r="277" spans="1:9" ht="15.6" x14ac:dyDescent="0.3">
      <c r="A277" s="506"/>
      <c r="B277" s="206" t="s">
        <v>70</v>
      </c>
      <c r="C277" s="207" t="s">
        <v>227</v>
      </c>
      <c r="D277" s="208"/>
      <c r="E277" s="13"/>
      <c r="F277" s="89" t="str">
        <f>IF(E277="","",IF('Quantification Tool'!$B$18="Northern Rivers",IF(E277&lt;29,0,IF(E277&gt;=66,1,ROUND(IF(E277&lt;38, 'Reference Curves'!$AJ$156*E277+'Reference Curves'!$AJ$157, IF(E277&lt;47, 'Reference Curves'!$AK$156*E277+'Reference Curves'!$AK$157, 'Reference Curves'!$AL$156*E277+'Reference Curves'!$AL$157)),2))),   IF('Quantification Tool'!$B$18="Northern Streams",IF(E277&lt;35,0,IF(E277&gt;=61,1,ROUND(IF(E277&lt;47, 'Reference Curves'!$AM$156*E277+'Reference Curves'!$AM$157, IF(E277&lt;56, 'Reference Curves'!$AN$156*E277+'Reference Curves'!$AN$157, 'Reference Curves'!$AO$156*E277+'Reference Curves'!$AO$157) ),2))), IF('Quantification Tool'!$B$18="Northern Headwaters",IF(E277&lt;23,0,IF(E277&gt;=68,1,ROUND(IF(E277&lt;42, 'Reference Curves'!$AP$156*E277+'Reference Curves'!$AP$157, IF(E277&lt;56, 'Reference Curves'!$AQ$156*E277+'Reference Curves'!$AQ$157, 'Reference Curves'!$AR$156*E277+'Reference Curves'!$AR$157) ),2))), IF('Quantification Tool'!$B$18="Northern Coldwater",IF(E277&lt;25,0,IF(E277&gt;=60,1,ROUND(IF(E277&lt;35, 'Reference Curves'!$AS$156*E277+'Reference Curves'!$AS$157, IF(E277&lt;35, 'Reference Curves'!$AT$156*E277+'Reference Curves'!$AT$157, 'Reference Curves'!$AU$156*E277+'Reference Curves'!$AU$157) ),2))), IF('Quantification Tool'!$B$18="Southern River", IF(E277&lt;38,0,IF(E277&gt;=71,1,ROUND(IF(E277&lt;49, 'Reference Curves'!$AJ$203*E277+'Reference Curves'!$AJ$204, IF(E277&lt;60, 'Reference Curves'!$AK$203*E277+'Reference Curves'!$AK$204, 'Reference Curves'!$AL$203*E277+'Reference Curves'!$AL$204)),2))), IF('Quantification Tool'!$B$18="Southern Streams", IF(E277&lt;35,0,IF(E277&gt;=66,1,ROUND(IF(E277&lt;50, 'Reference Curves'!$AM$203*E277+'Reference Curves'!$AM$204, IF(E277&lt;59, 'Reference Curves'!$AN$203*E277+'Reference Curves'!$AN$204, 'Reference Curves'!$AO$203*E277+'Reference Curves'!$AO$204)),2))), IF('Quantification Tool'!$B$18="Southern Headwaters", IF(E277&lt;33,0,IF(E277&gt;=74,1,ROUND(IF(E277&lt;55, 'Reference Curves'!$AP$203*E277+'Reference Curves'!$AP$204, IF(E277&lt;62, 'Reference Curves'!$AQ$203*E277+'Reference Curves'!$AQ$204, 'Reference Curves'!$AR$203*E277+'Reference Curves'!$AR$204)),2))), IF('Quantification Tool'!$B$18="Southern Coldwater", IF(E277&lt;37,0,IF(E277&gt;=82,1,ROUND(IF(E277&lt;50, 'Reference Curves'!$AS$203*E277+'Reference Curves'!$AS$204, IF(E277&lt;63, 'Reference Curves'!$AT$203*E277+'Reference Curves'!$AT$204, 'Reference Curves'!$AU$203*E277+'Reference Curves'!$AU$204)),2))), IF('Quantification Tool'!$B$18="Low Gradient", IF(E277&lt;15,0,IF(E277&gt;=70,1,ROUND(IF(E277&lt;42, 'Reference Curves'!$AJ$247*E277+'Reference Curves'!$AJ$248, IF(E277&lt;52, 'Reference Curves'!$AK$247*E277+'Reference Curves'!$AK$248, 'Reference Curves'!$AL$247*E277+'Reference Curves'!$AL$248)),2))) ))))))))))</f>
        <v/>
      </c>
      <c r="G277" s="205" t="str">
        <f>IFERROR(AVERAGE(F277),"")</f>
        <v/>
      </c>
      <c r="H277" s="481"/>
      <c r="I277" s="482"/>
    </row>
    <row r="280" spans="1:9" ht="21" x14ac:dyDescent="0.4">
      <c r="A280" s="28" t="s">
        <v>120</v>
      </c>
      <c r="B280" s="166">
        <v>10</v>
      </c>
      <c r="C280" s="168" t="s">
        <v>186</v>
      </c>
      <c r="D280" s="586"/>
      <c r="E280" s="587"/>
      <c r="F280" s="588"/>
      <c r="G280" s="589" t="s">
        <v>14</v>
      </c>
      <c r="H280" s="590"/>
      <c r="I280" s="591"/>
    </row>
    <row r="281" spans="1:9" ht="16.5" customHeight="1" x14ac:dyDescent="0.3">
      <c r="A281" s="34" t="s">
        <v>1</v>
      </c>
      <c r="B281" s="34" t="s">
        <v>2</v>
      </c>
      <c r="C281" s="154" t="s">
        <v>3</v>
      </c>
      <c r="D281" s="155"/>
      <c r="E281" s="34" t="s">
        <v>12</v>
      </c>
      <c r="F281" s="34" t="s">
        <v>13</v>
      </c>
      <c r="G281" s="34" t="s">
        <v>15</v>
      </c>
      <c r="H281" s="34" t="s">
        <v>16</v>
      </c>
      <c r="I281" s="34" t="s">
        <v>16</v>
      </c>
    </row>
    <row r="282" spans="1:9" ht="15.75" customHeight="1" x14ac:dyDescent="0.3">
      <c r="A282" s="559" t="s">
        <v>201</v>
      </c>
      <c r="B282" s="563" t="s">
        <v>113</v>
      </c>
      <c r="C282" s="194" t="s">
        <v>169</v>
      </c>
      <c r="D282" s="195"/>
      <c r="E282" s="72"/>
      <c r="F282" s="197" t="str">
        <f>IF(E282="","",IF(E282&gt;=80,0,IF(E282&lt;=40,1,IF(E282&gt;=68,ROUND(E282*'Reference Curves'!$C$14+'Reference Curves'!$C$15,2),ROUND(E282*'Reference Curves'!$D$14+'Reference Curves'!$D$15,2)))))</f>
        <v/>
      </c>
      <c r="G282" s="487" t="str">
        <f>IFERROR(AVERAGE(F282:F284),"")</f>
        <v/>
      </c>
      <c r="H282" s="487" t="str">
        <f>IFERROR(ROUND(AVERAGE(G282:G284),2),"")</f>
        <v/>
      </c>
      <c r="I282" s="475" t="str">
        <f>IF(H282="","",IF(H282:H284&gt;0.69,"Functioning",IF(H282&gt;0.29,"Functioning At Risk",IF(H282&gt;-1,"Not Functioning"))))</f>
        <v/>
      </c>
    </row>
    <row r="283" spans="1:9" ht="15.75" customHeight="1" x14ac:dyDescent="0.3">
      <c r="A283" s="560"/>
      <c r="B283" s="564"/>
      <c r="C283" s="262" t="s">
        <v>271</v>
      </c>
      <c r="D283" s="196"/>
      <c r="E283" s="199"/>
      <c r="F283" s="265" t="str">
        <f>IF(E283="","",  IF(E283&gt;0.95,0,IF(E283&lt;=0.02,1,ROUND(IF(E283&gt;0.26, 'Reference Curves'!$C$45*E283+'Reference Curves'!$C$46, IF(E283&lt;0.05, 'Reference Curves'!$E$45*E283+'Reference Curves'!$E$46, 'Reference Curves'!$D$45*E283+'Reference Curves'!$D$46)),2))) )</f>
        <v/>
      </c>
      <c r="G283" s="488"/>
      <c r="H283" s="488"/>
      <c r="I283" s="476"/>
    </row>
    <row r="284" spans="1:9" ht="15.75" customHeight="1" x14ac:dyDescent="0.3">
      <c r="A284" s="560"/>
      <c r="B284" s="565"/>
      <c r="C284" s="340" t="s">
        <v>302</v>
      </c>
      <c r="D284" s="341"/>
      <c r="E284" s="70"/>
      <c r="F284" s="312" t="str">
        <f>IF(E284="","",   IF(E284&gt;3.22,0, IF(E284&lt;0, "", ROUND('Reference Curves'!$C$74*E284+'Reference Curves'!$C$75,2))))</f>
        <v/>
      </c>
      <c r="G284" s="489"/>
      <c r="H284" s="488"/>
      <c r="I284" s="477"/>
    </row>
    <row r="285" spans="1:9" ht="15.75" customHeight="1" x14ac:dyDescent="0.3">
      <c r="A285" s="561" t="s">
        <v>200</v>
      </c>
      <c r="B285" s="557" t="s">
        <v>5</v>
      </c>
      <c r="C285" s="74" t="s">
        <v>6</v>
      </c>
      <c r="D285" s="74"/>
      <c r="E285" s="72"/>
      <c r="F285" s="272" t="str">
        <f>IF(E285="","",ROUND(IF(E285&gt;1.71,0,IF(E285&lt;=1,1,E285*'Reference Curves'!K$13+'Reference Curves'!K$14)),2))</f>
        <v/>
      </c>
      <c r="G285" s="492" t="str">
        <f>IFERROR(AVERAGE(F285:F286),"")</f>
        <v/>
      </c>
      <c r="H285" s="492" t="str">
        <f>IFERROR(ROUND(AVERAGE(G285),2),"")</f>
        <v/>
      </c>
      <c r="I285" s="476" t="str">
        <f>IF(H285="","",IF(H285&gt;0.69,"Functioning",IF(H285&gt;0.29,"Functioning At Risk",IF(H285&gt;-1,"Not Functioning"))))</f>
        <v/>
      </c>
    </row>
    <row r="286" spans="1:9" ht="15" customHeight="1" x14ac:dyDescent="0.3">
      <c r="A286" s="562"/>
      <c r="B286" s="558"/>
      <c r="C286" s="75" t="s">
        <v>7</v>
      </c>
      <c r="D286" s="75"/>
      <c r="E286" s="73"/>
      <c r="F286" s="76" t="str">
        <f>IF(E286="","",IF(OR('Quantification Tool'!$B$9="A",'Quantification Tool'!$B$9="Ba",'Quantification Tool'!$B$9="B", 'Quantification Tool'!$B$9="Bc"),IF(E286&lt;1.2,0,IF(E286&gt;=2.2,1,ROUND(IF(E286&lt;1.4,E286*'Reference Curves'!$K$82+'Reference Curves'!$K$83,E286*'Reference Curves'!$L$82+'Reference Curves'!$L$83),2))),IF(OR('Quantification Tool'!$B$9="C",'Quantification Tool'!$B$9="Cb",'Quantification Tool'!$B$9="E"),IF(E286&lt;2,0,IF(E286&gt;=5,1,ROUND(IF(E286&lt;2.4,E286*'Reference Curves'!$L$47+'Reference Curves'!$L$48,E286*'Reference Curves'!$K$47+'Reference Curves'!$K$48),2))))))</f>
        <v/>
      </c>
      <c r="G286" s="493"/>
      <c r="H286" s="493"/>
      <c r="I286" s="477"/>
    </row>
    <row r="287" spans="1:9" ht="15" customHeight="1" x14ac:dyDescent="0.3">
      <c r="A287" s="507" t="s">
        <v>20</v>
      </c>
      <c r="B287" s="507" t="s">
        <v>21</v>
      </c>
      <c r="C287" s="18" t="s">
        <v>19</v>
      </c>
      <c r="D287" s="77"/>
      <c r="E287" s="72"/>
      <c r="F287" s="78" t="str">
        <f>IF(E287="","",IF(E287&gt;=660,1,IF(E287&lt;=430,ROUND('Reference Curves'!$S$14*E287+'Reference Curves'!$S$15,2),ROUND('Reference Curves'!$T$14*E287+'Reference Curves'!$T$15,2))))</f>
        <v/>
      </c>
      <c r="G287" s="509" t="str">
        <f>IFERROR(AVERAGE(F287:F288),"")</f>
        <v/>
      </c>
      <c r="H287" s="509" t="str">
        <f>IFERROR(ROUND(AVERAGE(G287:G300),2),"")</f>
        <v/>
      </c>
      <c r="I287" s="516" t="str">
        <f>IF(H287="","",IF(H287&gt;0.69,"Functioning",IF(H287&gt;0.29,"Functioning At Risk",IF(H287&gt;-1,"Not Functioning"))))</f>
        <v/>
      </c>
    </row>
    <row r="288" spans="1:9" ht="15" customHeight="1" x14ac:dyDescent="0.3">
      <c r="A288" s="511"/>
      <c r="B288" s="508"/>
      <c r="C288" s="17" t="s">
        <v>353</v>
      </c>
      <c r="D288" s="79"/>
      <c r="E288" s="73"/>
      <c r="F288" s="210" t="str">
        <f>IF(E288="","",IF(E288&gt;=28,1,ROUND(IF(E288&lt;=13,'Reference Curves'!$S$47*E288,'Reference Curves'!$T$47*E288+'Reference Curves'!$T$48),2)))</f>
        <v/>
      </c>
      <c r="G288" s="510"/>
      <c r="H288" s="515"/>
      <c r="I288" s="517"/>
    </row>
    <row r="289" spans="1:9" ht="15.6" x14ac:dyDescent="0.3">
      <c r="A289" s="511"/>
      <c r="B289" s="511" t="s">
        <v>196</v>
      </c>
      <c r="C289" s="80" t="s">
        <v>43</v>
      </c>
      <c r="D289" s="80"/>
      <c r="E289" s="199"/>
      <c r="F289" s="160" t="str">
        <f>IF(E289="","",IF(OR(E289="Ex/Ex",E289="Ex/VH",E289="Ex/H",E289="Ex/M",E289="VH/Ex",E289="VH/VH", E289="H/Ex",E289="H/VH"),0, IF(OR(E289="M/Ex"),0.1,IF(OR(E289="VH/H",E289="VH/M",E289="H/H",E289="H/M", E289="M/VH"),0.2, IF(OR(E289="Ex/VL",E289="Ex/L", E289="M/H"),0.3, IF(OR(E289="VH/L",E289="H/L"),0.4, IF(OR(E289="VH/VL",E289="H/VL",E289="M/M"),0.5, IF(OR(E289="M/L",E289="L/Ex"),0.6, IF(OR(E289="M/VL",E289="L/VH", E289="L/H",E289="L/M",E289="L/L",E289="L/VL",LEFT(E289)="V"),1)))))))))</f>
        <v/>
      </c>
      <c r="G289" s="515" t="str">
        <f>IFERROR(AVERAGE(F289:F291),"")</f>
        <v/>
      </c>
      <c r="H289" s="515"/>
      <c r="I289" s="517"/>
    </row>
    <row r="290" spans="1:9" ht="15.6" x14ac:dyDescent="0.3">
      <c r="A290" s="511"/>
      <c r="B290" s="511"/>
      <c r="C290" s="173" t="s">
        <v>79</v>
      </c>
      <c r="D290" s="173"/>
      <c r="E290" s="199"/>
      <c r="F290" s="160" t="str">
        <f>IF(E290="","",ROUND(IF(E290&gt;=75,0,IF(E290&lt;=5,1,IF(E290&gt;10,E290*'Reference Curves'!S$81+'Reference Curves'!S$82,'Reference Curves'!$T$81*E290+'Reference Curves'!$T$82))),2))</f>
        <v/>
      </c>
      <c r="G290" s="515"/>
      <c r="H290" s="515"/>
      <c r="I290" s="517"/>
    </row>
    <row r="291" spans="1:9" ht="15.6" x14ac:dyDescent="0.3">
      <c r="A291" s="511"/>
      <c r="B291" s="508"/>
      <c r="C291" s="176" t="s">
        <v>195</v>
      </c>
      <c r="D291" s="144"/>
      <c r="E291" s="73"/>
      <c r="F291" s="181" t="str">
        <f>IF(E291="","",IF(E291&gt;=50,0,ROUND(E291*'Reference Curves'!$S$112+'Reference Curves'!$S$113,2)))</f>
        <v/>
      </c>
      <c r="G291" s="510"/>
      <c r="H291" s="515"/>
      <c r="I291" s="517"/>
    </row>
    <row r="292" spans="1:9" ht="15.6" x14ac:dyDescent="0.3">
      <c r="A292" s="511"/>
      <c r="B292" s="87" t="s">
        <v>97</v>
      </c>
      <c r="C292" s="17" t="s">
        <v>115</v>
      </c>
      <c r="D292" s="80"/>
      <c r="E292" s="73"/>
      <c r="F292" s="157" t="str">
        <f>IF(OR(E292="",'Quantification Tool'!$B$14=""),"",IF(OR('Quantification Tool'!$B$14="Silt/Clay",'Quantification Tool'!$B$14="Sand",'Quantification Tool'!$B$14="Boulders",'Quantification Tool'!$B$14="Bedrock"),"NA",IF(E292&gt;0.1,1,IF(E292&lt;=0.01,0,ROUND(E292*'Reference Curves'!$S$143+'Reference Curves'!$S$144,2)))))</f>
        <v/>
      </c>
      <c r="G292" s="82" t="str">
        <f>IFERROR(AVERAGE(F292),"")</f>
        <v/>
      </c>
      <c r="H292" s="515"/>
      <c r="I292" s="517"/>
    </row>
    <row r="293" spans="1:9" ht="15.6" x14ac:dyDescent="0.3">
      <c r="A293" s="511"/>
      <c r="B293" s="507" t="s">
        <v>45</v>
      </c>
      <c r="C293" s="77" t="s">
        <v>46</v>
      </c>
      <c r="D293" s="77"/>
      <c r="E293" s="83"/>
      <c r="F293" s="84" t="str">
        <f>IF(E293="","", IF(OR(LEFT('Quantification Tool'!$B$9)="C",'Quantification Tool'!$B$9="E"), IF(OR(E293&lt;=1,E293&gt;=9),0,IF(AND(E293&gt;=3.5,E293&lt;=6),1,IF(E293&lt;3.5, ROUND(E293*'Reference Curves'!$S$243+'Reference Curves'!$S$244,2), ROUND(E293*'Reference Curves'!$T$243+'Reference Curves'!$T$244,2)))),   IF(OR(('Quantification Tool'!$B$9)="A",('Quantification Tool'!$B$9)="B",('Quantification Tool'!$B$9)="Ba"), IF(E293&gt;=6.5,0, IF(E293&lt;=4, 1, ROUND(E293^2*'Reference Curves'!$S$177+E293*'Reference Curves'!$S$178+'Reference Curves'!$S$179,2))), IF('Quantification Tool'!$B$9="Bc",  IF(E293&gt;=8,0, IF(E293&lt;=5, 1, ROUND(E293^2*'Reference Curves'!$S$209+E293*'Reference Curves'!$S$210+'Reference Curves'!$S$211,2)))))))</f>
        <v/>
      </c>
      <c r="G293" s="512" t="str">
        <f>IFERROR(AVERAGE(F293:F296),"")</f>
        <v/>
      </c>
      <c r="H293" s="515"/>
      <c r="I293" s="517"/>
    </row>
    <row r="294" spans="1:9" ht="15.6" x14ac:dyDescent="0.3">
      <c r="A294" s="511"/>
      <c r="B294" s="511"/>
      <c r="C294" s="80" t="s">
        <v>47</v>
      </c>
      <c r="D294" s="80"/>
      <c r="E294" s="81"/>
      <c r="F294" s="85" t="str">
        <f>IF(E294="","", ROUND(  IF(E294&lt;=1.1,0, IF(E294&gt;=3,1, IF(E294&lt;2, E294^2*'Reference Curves'!$S$276+  E294*'Reference Curves'!$S$277 + 'Reference Curves'!$S$278,     E294*'Reference Curves'!$T$277 + 'Reference Curves'!$T$278))),2))</f>
        <v/>
      </c>
      <c r="G294" s="513"/>
      <c r="H294" s="515"/>
      <c r="I294" s="517"/>
    </row>
    <row r="295" spans="1:9" ht="15.6" x14ac:dyDescent="0.3">
      <c r="A295" s="511"/>
      <c r="B295" s="511"/>
      <c r="C295" s="15" t="s">
        <v>173</v>
      </c>
      <c r="D295" s="80"/>
      <c r="E295" s="81"/>
      <c r="F295" s="391" t="str">
        <f>IF(E295="","", IF(OR('Quantification Tool'!$B$9="A",LEFT('Quantification Tool'!$B$9,1)="B"), IF(OR(E295&lt;=20,E295&gt;=90),0,IF(AND(E295&gt;=50,E295&lt;=60),1,IF(E295&lt;50, ROUND(E295*'Reference Curves'!$S$310+'Reference Curves'!$S$311,2),ROUND( E295*'Reference Curves'!$T$310+'Reference Curves'!$T$311,2)))),   IF(OR(LEFT('Quantification Tool'!$B$9)="C",'Quantification Tool'!$B$9="E"), IF(OR(E295&lt;=20,E295&gt;=85),0, IF(AND(E295&lt;=65,E295&gt;=45), 1, IF(E295&lt;45, ROUND(E295*'Reference Curves'!$S$343+'Reference Curves'!$S$344,2),ROUN(E295*'Reference Curves'!$T$343+'Reference Curves'!$T$344,2))))   )  ))</f>
        <v/>
      </c>
      <c r="G295" s="513"/>
      <c r="H295" s="515"/>
      <c r="I295" s="517"/>
    </row>
    <row r="296" spans="1:9" ht="15.6" x14ac:dyDescent="0.3">
      <c r="A296" s="511"/>
      <c r="B296" s="508"/>
      <c r="C296" s="79" t="s">
        <v>136</v>
      </c>
      <c r="D296" s="79"/>
      <c r="E296" s="86"/>
      <c r="F296" s="362" t="str">
        <f>IF(E296="","",IF(E296&gt;=1.6,0,IF(E296&lt;=1,1,ROUND('Reference Curves'!$S$375*E296^3+'Reference Curves'!$S$376*E296^2+'Reference Curves'!$S$377*E296+'Reference Curves'!$S$378,2))))</f>
        <v/>
      </c>
      <c r="G296" s="514"/>
      <c r="H296" s="515"/>
      <c r="I296" s="517"/>
    </row>
    <row r="297" spans="1:9" ht="15.6" x14ac:dyDescent="0.3">
      <c r="A297" s="511"/>
      <c r="B297" s="507" t="s">
        <v>44</v>
      </c>
      <c r="C297" s="16" t="s">
        <v>295</v>
      </c>
      <c r="D297" s="179"/>
      <c r="E297" s="180"/>
      <c r="F297" s="172" t="str">
        <f>IF(E297="","",IF('Quantification Tool'!$B$19="Unconfined Alluvial",IF(E297&gt;=100,1,IF(E297&lt;30,0,ROUND('Reference Curves'!$S$411*E297+'Reference Curves'!$S$412,2))),IF(OR('Quantification Tool'!$B$19="Confined Alluvial",'Quantification Tool'!$B$19="Colluvial/V-Shaped"),(IF(E297&gt;=100,1,IF(E297&lt;60,0,ROUND('Reference Curves'!$T$411*E297+'Reference Curves'!$T$412,2)))))))</f>
        <v/>
      </c>
      <c r="G297" s="512" t="str">
        <f>IFERROR(AVERAGE(F297:F300),"")</f>
        <v/>
      </c>
      <c r="H297" s="515"/>
      <c r="I297" s="517"/>
    </row>
    <row r="298" spans="1:9" ht="15.6" x14ac:dyDescent="0.3">
      <c r="A298" s="511"/>
      <c r="B298" s="511"/>
      <c r="C298" s="145" t="s">
        <v>297</v>
      </c>
      <c r="D298" s="169"/>
      <c r="E298" s="177"/>
      <c r="F298" s="85" t="str">
        <f>IF(E298="","",IF('Quantification Tool'!$B$10="Yes",IF(E298&lt;=50,0,IF(E298&gt;=80,1,ROUND('Reference Curves'!$S$445*E298+'Reference Curves'!$S$446,2))),IF('Quantification Tool'!$B$10="No",IF(E298&gt;=80,0,IF(E298&lt;=50,1,ROUND(E298*'Reference Curves'!$T$445+'Reference Curves'!$T$446,2))))))</f>
        <v/>
      </c>
      <c r="G298" s="513"/>
      <c r="H298" s="515"/>
      <c r="I298" s="517"/>
    </row>
    <row r="299" spans="1:9" ht="15.6" x14ac:dyDescent="0.3">
      <c r="A299" s="511"/>
      <c r="B299" s="519"/>
      <c r="C299" s="145" t="s">
        <v>189</v>
      </c>
      <c r="D299" s="169"/>
      <c r="E299" s="177"/>
      <c r="F299" s="85" t="str">
        <f>IF(E299="","",IF(E299&lt;=50,0,IF(E299&gt;=80,1, ROUND(E299*'Reference Curves'!$S$477+'Reference Curves'!$S$478,2))))</f>
        <v/>
      </c>
      <c r="G299" s="513"/>
      <c r="H299" s="515"/>
      <c r="I299" s="517"/>
    </row>
    <row r="300" spans="1:9" ht="15.6" x14ac:dyDescent="0.3">
      <c r="A300" s="508"/>
      <c r="B300" s="508"/>
      <c r="C300" s="520" t="s">
        <v>377</v>
      </c>
      <c r="D300" s="521"/>
      <c r="E300" s="178"/>
      <c r="F300" s="85" t="str">
        <f>IF(E300="","",IF('Quantification Tool'!$B$10="Yes",IF(E300&lt;=9,0,IF(E300&gt;=14,1,ROUND('Reference Curves'!$S$509*E300+'Reference Curves'!$S$510,2))),"FALSE"))</f>
        <v/>
      </c>
      <c r="G300" s="514"/>
      <c r="H300" s="510"/>
      <c r="I300" s="518"/>
    </row>
    <row r="301" spans="1:9" ht="15.6" x14ac:dyDescent="0.3">
      <c r="A301" s="502" t="s">
        <v>51</v>
      </c>
      <c r="B301" s="313" t="s">
        <v>74</v>
      </c>
      <c r="C301" s="314" t="s">
        <v>272</v>
      </c>
      <c r="D301" s="315"/>
      <c r="E301" s="44"/>
      <c r="F301" s="319" t="str">
        <f>IF(E301="","",  IF(E301&gt;=25,0,IF(E301&lt;=10,1,ROUND(IF(E301&gt;18, 'Reference Curves'!$AA$14*E301+'Reference Curves'!$AA$15, IF(E301&lt;12, 'Reference Curves'!$AC$14*E301+'Reference Curves'!$AC$15, 'Reference Curves'!$AB$14*E301+'Reference Curves'!$AB$15)),2))) )</f>
        <v/>
      </c>
      <c r="G301" s="321" t="str">
        <f t="shared" ref="G301:G302" si="10">IFERROR(AVERAGE(F301),"")</f>
        <v/>
      </c>
      <c r="H301" s="568" t="str">
        <f>IFERROR(ROUND(AVERAGE(G301:G303),2),"")</f>
        <v/>
      </c>
      <c r="I301" s="482" t="str">
        <f>IF(H301="","",IF(H301&gt;0.69,"Functioning",IF(H301&gt;0.29,"Functioning At Risk",IF(H301&gt;-1,"Not Functioning"))))</f>
        <v/>
      </c>
    </row>
    <row r="302" spans="1:9" ht="15.6" x14ac:dyDescent="0.3">
      <c r="A302" s="503"/>
      <c r="B302" s="323" t="s">
        <v>280</v>
      </c>
      <c r="C302" s="314" t="s">
        <v>281</v>
      </c>
      <c r="D302" s="315"/>
      <c r="E302" s="199"/>
      <c r="F302" s="320" t="str">
        <f>IF(E302="","",IF('Quantification Tool'!$B$11="2A",IF(E302&lt;=5.3,0,IF(E302&gt;=8.79,1,ROUND(E302*'Reference Curves'!$AA$50+'Reference Curves'!$AA$51,2))),IF('Quantification Tool'!$B$11=7,IF(E302&lt;=0.8,0,IF(E302&gt;=1.25,1,ROUND(E302*'Reference Curves'!$AC$50+'Reference Curves'!$AC$51,2))),IF(OR('Quantification Tool'!$B$11="2B", 'Quantification Tool'!$B$11="2Bd",'Quantification Tool'!$B$11="2C"),IF(E302&lt;=3.8,0,(IF(E302&gt;=6.24,1,ROUND(E302*'Reference Curves'!$AB$50+'Reference Curves'!$AB$51,2))))))))</f>
        <v/>
      </c>
      <c r="G302" s="321" t="str">
        <f t="shared" si="10"/>
        <v/>
      </c>
      <c r="H302" s="569"/>
      <c r="I302" s="482"/>
    </row>
    <row r="303" spans="1:9" ht="15.6" x14ac:dyDescent="0.3">
      <c r="A303" s="504"/>
      <c r="B303" s="289" t="s">
        <v>293</v>
      </c>
      <c r="C303" s="317" t="s">
        <v>294</v>
      </c>
      <c r="D303" s="318"/>
      <c r="E303" s="44"/>
      <c r="F303" s="320" t="str">
        <f>IF(E303="","",IF('Quantification Tool'!B$11="2A",IF(E303&gt;=12.5,0,IF(E303&lt;=7.5,1,ROUND(E303*'Reference Curves'!$AA$86+'Reference Curves'!$AA$87,2))),IF(OR('Quantification Tool'!B$11="2B",'Quantification Tool'!B$11="2Bd",'Quantification Tool'!B$11="2C"),IF('Quantification Tool'!B$12="North",IF(E303&gt;=18.8,0,IF(E303&lt;=11.3,1,ROUND(E303*'Reference Curves'!$AB$86+'Reference Curves'!$AB$87,2))),IF('Quantification Tool'!B$12="Central",(IF(E303&gt;=37.5,0,IF(E303&lt;=22.5,1,ROUND(E303*'Reference Curves'!$AC$86+'Reference Curves'!$AC$87,2)))),IF(E303&gt;=81.2,0,(IF(E303&lt;=48.7,1,ROUND(E303*'Reference Curves'!$AD$86+'Reference Curves'!$AD$87,2)))))))))</f>
        <v/>
      </c>
      <c r="G303" s="321" t="str">
        <f>IFERROR(AVERAGE(F303),"")</f>
        <v/>
      </c>
      <c r="H303" s="570"/>
      <c r="I303" s="482"/>
    </row>
    <row r="304" spans="1:9" ht="15.6" x14ac:dyDescent="0.3">
      <c r="A304" s="505" t="s">
        <v>52</v>
      </c>
      <c r="B304" s="204" t="s">
        <v>129</v>
      </c>
      <c r="C304" s="203" t="s">
        <v>226</v>
      </c>
      <c r="D304" s="88"/>
      <c r="E304" s="72"/>
      <c r="F304" s="89" t="str">
        <f>IF(E304="","",IF('Quantification Tool'!$B$17="Northern Forest Rivers",IF(E304&lt;=38.2,0,IF(E304&gt;=77,1,ROUND(IF(E304&lt;49, 'Reference Curves'!$AJ$18*E304+'Reference Curves'!$AJ$19, IF(E304&lt;59.8, 'Reference Curves'!$AK$18*E304+'Reference Curves'!$AK$19, 'Reference Curves'!$AL$18*E304+'Reference Curves'!$AL$19)),2))),   IF('Quantification Tool'!$B$17="Northern Forest Streams Riffle-run",IF(E304&lt;40.4,0,IF(E304&gt;=82,1,ROUND(IF(E304&lt;53, 'Reference Curves'!$AM$18*E304+'Reference Curves'!$AM$19, IF(E304&lt;59.8, 'Reference Curves'!$AN$18*E304+'Reference Curves'!$AN$19, 'Reference Curves'!$AO$18*E304+'Reference Curves'!$AO$19) ),2))), IF('Quantification Tool'!$B$17="Northern Forest Streams Glide-pool",IF(E304&lt;=37,0,IF(E304&gt;=76,1,ROUND(IF(E304&lt;51, 'Reference Curves'!$AP$18*E304+'Reference Curves'!$AP$19, IF(E304&lt;65.6, 'Reference Curves'!$AQ$18*E304+'Reference Curves'!$AQ$19, 'Reference Curves'!$AR$18*E304+'Reference Curves'!$AR$19) ),2))), IF('Quantification Tool'!$B$17="Northern Coldwater",IF(E304&lt;19.6,0,IF(E304&gt;=52,1,ROUND(IF(E304&lt;32, 'Reference Curves'!$AS$18*E304+'Reference Curves'!$AS$19, IF(E304&lt;44.4, 'Reference Curves'!$AT$18*E304+'Reference Curves'!$AT$19, 'Reference Curves'!$AU$18*E304+'Reference Curves'!$AU$19) ),2))), IF('Quantification Tool'!$B$17="Southern Forest Streams Riffle-run", IF(E304&lt;24,0,IF(E304&gt;=62,1,ROUND(IF(E304&lt;37, 'Reference Curves'!$AJ$65*E304+'Reference Curves'!$AJ$66, IF(E304&lt;49.6, 'Reference Curves'!$AK$65*E304+'Reference Curves'!$AK$66, 'Reference Curves'!$AL$65*E304+'Reference Curves'!$AL$66)),2))), IF('Quantification Tool'!$B$17="Southern Forest Streams Glide-pool", IF(E304&lt;29.4,0,IF(E304&gt;=65,1,ROUND(IF(E304&lt;43, 'Reference Curves'!$AM$65*E304+'Reference Curves'!$AM$66, IF(E304&lt;56.6, 'Reference Curves'!$AN$65*E304+'Reference Curves'!$AN$66, 'Reference Curves'!$AO$65*E304+'Reference Curves'!$AO$66)),2))), IF('Quantification Tool'!$B$17="Southern Coldwater", IF(E304&lt;29.2,0,IF(E304&gt;=72,1,ROUND(IF(E304&lt;43, 'Reference Curves'!$AP$65*E304+'Reference Curves'!$AP$66, IF(E304&lt;56.8, 'Reference Curves'!$AQ$65*E304+'Reference Curves'!$AQ$66, 'Reference Curves'!$AR$65*E304+'Reference Curves'!$AR$66)),2))), IF('Quantification Tool'!$B$17="Prairie Forest Rivers", IF(E304&lt;20.2,0,IF(E304&gt;=62,1,ROUND(IF(E304&lt;31, 'Reference Curves'!$AJ$110*E304+'Reference Curves'!$AJ$111, IF(E304&lt;41.8, 'Reference Curves'!$AK$110*E304+'Reference Curves'!$AK$111, 'Reference Curves'!$AL$110*E304+'Reference Curves'!$AL$111)),2))), IF('Quantification Tool'!$B$17="Prairie Streams Glide-Pool", IF(E304&lt;27.4,0,IF(E304&gt;=69,1,ROUND(IF(E304&lt;41, 'Reference Curves'!$AM$110*E304+'Reference Curves'!$AM$111, IF(E304&lt;54.6, 'Reference Curves'!$AN$110*E304+'Reference Curves'!$AN$111, 'Reference Curves'!$AO$110*E304+'Reference Curves'!$AO$111)),2))) ))))))))))</f>
        <v/>
      </c>
      <c r="G304" s="205" t="str">
        <f>IFERROR(AVERAGE(F304),"")</f>
        <v/>
      </c>
      <c r="H304" s="481" t="str">
        <f>IFERROR(ROUND(AVERAGE(G304:G305),2),"")</f>
        <v/>
      </c>
      <c r="I304" s="482" t="str">
        <f>IF(H304="","",IF(H304&gt;0.69,"Functioning",IF(H304&gt;0.29,"Functioning At Risk",IF(H304&gt;-1,"Not Functioning"))))</f>
        <v/>
      </c>
    </row>
    <row r="305" spans="1:9" ht="15.6" x14ac:dyDescent="0.3">
      <c r="A305" s="506"/>
      <c r="B305" s="206" t="s">
        <v>70</v>
      </c>
      <c r="C305" s="207" t="s">
        <v>227</v>
      </c>
      <c r="D305" s="208"/>
      <c r="E305" s="13"/>
      <c r="F305" s="89" t="str">
        <f>IF(E305="","",IF('Quantification Tool'!$B$18="Northern Rivers",IF(E305&lt;29,0,IF(E305&gt;=66,1,ROUND(IF(E305&lt;38, 'Reference Curves'!$AJ$156*E305+'Reference Curves'!$AJ$157, IF(E305&lt;47, 'Reference Curves'!$AK$156*E305+'Reference Curves'!$AK$157, 'Reference Curves'!$AL$156*E305+'Reference Curves'!$AL$157)),2))),   IF('Quantification Tool'!$B$18="Northern Streams",IF(E305&lt;35,0,IF(E305&gt;=61,1,ROUND(IF(E305&lt;47, 'Reference Curves'!$AM$156*E305+'Reference Curves'!$AM$157, IF(E305&lt;56, 'Reference Curves'!$AN$156*E305+'Reference Curves'!$AN$157, 'Reference Curves'!$AO$156*E305+'Reference Curves'!$AO$157) ),2))), IF('Quantification Tool'!$B$18="Northern Headwaters",IF(E305&lt;23,0,IF(E305&gt;=68,1,ROUND(IF(E305&lt;42, 'Reference Curves'!$AP$156*E305+'Reference Curves'!$AP$157, IF(E305&lt;56, 'Reference Curves'!$AQ$156*E305+'Reference Curves'!$AQ$157, 'Reference Curves'!$AR$156*E305+'Reference Curves'!$AR$157) ),2))), IF('Quantification Tool'!$B$18="Northern Coldwater",IF(E305&lt;25,0,IF(E305&gt;=60,1,ROUND(IF(E305&lt;35, 'Reference Curves'!$AS$156*E305+'Reference Curves'!$AS$157, IF(E305&lt;35, 'Reference Curves'!$AT$156*E305+'Reference Curves'!$AT$157, 'Reference Curves'!$AU$156*E305+'Reference Curves'!$AU$157) ),2))), IF('Quantification Tool'!$B$18="Southern River", IF(E305&lt;38,0,IF(E305&gt;=71,1,ROUND(IF(E305&lt;49, 'Reference Curves'!$AJ$203*E305+'Reference Curves'!$AJ$204, IF(E305&lt;60, 'Reference Curves'!$AK$203*E305+'Reference Curves'!$AK$204, 'Reference Curves'!$AL$203*E305+'Reference Curves'!$AL$204)),2))), IF('Quantification Tool'!$B$18="Southern Streams", IF(E305&lt;35,0,IF(E305&gt;=66,1,ROUND(IF(E305&lt;50, 'Reference Curves'!$AM$203*E305+'Reference Curves'!$AM$204, IF(E305&lt;59, 'Reference Curves'!$AN$203*E305+'Reference Curves'!$AN$204, 'Reference Curves'!$AO$203*E305+'Reference Curves'!$AO$204)),2))), IF('Quantification Tool'!$B$18="Southern Headwaters", IF(E305&lt;33,0,IF(E305&gt;=74,1,ROUND(IF(E305&lt;55, 'Reference Curves'!$AP$203*E305+'Reference Curves'!$AP$204, IF(E305&lt;62, 'Reference Curves'!$AQ$203*E305+'Reference Curves'!$AQ$204, 'Reference Curves'!$AR$203*E305+'Reference Curves'!$AR$204)),2))), IF('Quantification Tool'!$B$18="Southern Coldwater", IF(E305&lt;37,0,IF(E305&gt;=82,1,ROUND(IF(E305&lt;50, 'Reference Curves'!$AS$203*E305+'Reference Curves'!$AS$204, IF(E305&lt;63, 'Reference Curves'!$AT$203*E305+'Reference Curves'!$AT$204, 'Reference Curves'!$AU$203*E305+'Reference Curves'!$AU$204)),2))), IF('Quantification Tool'!$B$18="Low Gradient", IF(E305&lt;15,0,IF(E305&gt;=70,1,ROUND(IF(E305&lt;42, 'Reference Curves'!$AJ$247*E305+'Reference Curves'!$AJ$248, IF(E305&lt;52, 'Reference Curves'!$AK$247*E305+'Reference Curves'!$AK$248, 'Reference Curves'!$AL$247*E305+'Reference Curves'!$AL$248)),2))) ))))))))))</f>
        <v/>
      </c>
      <c r="G305" s="205" t="str">
        <f>IFERROR(AVERAGE(F305),"")</f>
        <v/>
      </c>
      <c r="H305" s="481"/>
      <c r="I305" s="482"/>
    </row>
  </sheetData>
  <sheetProtection password="9A39" sheet="1" formatColumns="0"/>
  <dataConsolidate link="1"/>
  <mergeCells count="330">
    <mergeCell ref="I273:I275"/>
    <mergeCell ref="B254:B256"/>
    <mergeCell ref="B282:B284"/>
    <mergeCell ref="H248:H249"/>
    <mergeCell ref="H257:H258"/>
    <mergeCell ref="B114:B116"/>
    <mergeCell ref="B142:B144"/>
    <mergeCell ref="B170:B172"/>
    <mergeCell ref="B198:B200"/>
    <mergeCell ref="B226:B228"/>
    <mergeCell ref="H217:H219"/>
    <mergeCell ref="B205:B207"/>
    <mergeCell ref="G117:G118"/>
    <mergeCell ref="G205:G207"/>
    <mergeCell ref="B213:B216"/>
    <mergeCell ref="G213:G216"/>
    <mergeCell ref="B209:B212"/>
    <mergeCell ref="B175:B176"/>
    <mergeCell ref="G175:G176"/>
    <mergeCell ref="H189:H191"/>
    <mergeCell ref="B153:B156"/>
    <mergeCell ref="H133:H135"/>
    <mergeCell ref="I133:I135"/>
    <mergeCell ref="G145:G146"/>
    <mergeCell ref="B86:B88"/>
    <mergeCell ref="A119:A132"/>
    <mergeCell ref="A147:A160"/>
    <mergeCell ref="G153:G156"/>
    <mergeCell ref="C160:D160"/>
    <mergeCell ref="H147:H160"/>
    <mergeCell ref="B185:B188"/>
    <mergeCell ref="H175:H188"/>
    <mergeCell ref="C188:D188"/>
    <mergeCell ref="H164:H165"/>
    <mergeCell ref="B173:B174"/>
    <mergeCell ref="G173:G174"/>
    <mergeCell ref="A173:A174"/>
    <mergeCell ref="A114:A116"/>
    <mergeCell ref="A117:A118"/>
    <mergeCell ref="H114:H116"/>
    <mergeCell ref="H117:H118"/>
    <mergeCell ref="A142:A144"/>
    <mergeCell ref="A145:A146"/>
    <mergeCell ref="H142:H144"/>
    <mergeCell ref="H145:H146"/>
    <mergeCell ref="B157:B160"/>
    <mergeCell ref="G157:G160"/>
    <mergeCell ref="G147:G148"/>
    <mergeCell ref="I80:I81"/>
    <mergeCell ref="A89:A90"/>
    <mergeCell ref="H89:H90"/>
    <mergeCell ref="H105:H107"/>
    <mergeCell ref="G121:G123"/>
    <mergeCell ref="B129:B132"/>
    <mergeCell ref="G129:G132"/>
    <mergeCell ref="D112:F112"/>
    <mergeCell ref="G112:I112"/>
    <mergeCell ref="G84:I84"/>
    <mergeCell ref="B117:B118"/>
    <mergeCell ref="A86:A88"/>
    <mergeCell ref="G86:G88"/>
    <mergeCell ref="A91:A104"/>
    <mergeCell ref="G91:G92"/>
    <mergeCell ref="D84:F84"/>
    <mergeCell ref="H86:H88"/>
    <mergeCell ref="B89:B90"/>
    <mergeCell ref="G89:G90"/>
    <mergeCell ref="H108:H109"/>
    <mergeCell ref="I108:I109"/>
    <mergeCell ref="B97:B100"/>
    <mergeCell ref="B93:B95"/>
    <mergeCell ref="B101:B104"/>
    <mergeCell ref="B147:B148"/>
    <mergeCell ref="B145:B146"/>
    <mergeCell ref="D140:F140"/>
    <mergeCell ref="C132:D132"/>
    <mergeCell ref="B119:B120"/>
    <mergeCell ref="G119:G120"/>
    <mergeCell ref="B121:B123"/>
    <mergeCell ref="B125:B128"/>
    <mergeCell ref="B149:B151"/>
    <mergeCell ref="G149:G151"/>
    <mergeCell ref="B91:B92"/>
    <mergeCell ref="C104:D104"/>
    <mergeCell ref="H80:H81"/>
    <mergeCell ref="H77:H79"/>
    <mergeCell ref="G34:G35"/>
    <mergeCell ref="G29:I29"/>
    <mergeCell ref="D29:F29"/>
    <mergeCell ref="I31:I33"/>
    <mergeCell ref="I34:I35"/>
    <mergeCell ref="G31:G33"/>
    <mergeCell ref="B31:B33"/>
    <mergeCell ref="B58:B60"/>
    <mergeCell ref="I77:I79"/>
    <mergeCell ref="H31:H33"/>
    <mergeCell ref="H34:H35"/>
    <mergeCell ref="H58:H60"/>
    <mergeCell ref="H61:H62"/>
    <mergeCell ref="B69:B72"/>
    <mergeCell ref="G69:G72"/>
    <mergeCell ref="G42:G45"/>
    <mergeCell ref="H50:H52"/>
    <mergeCell ref="G58:G60"/>
    <mergeCell ref="G97:G100"/>
    <mergeCell ref="H91:H104"/>
    <mergeCell ref="I161:I163"/>
    <mergeCell ref="I164:I165"/>
    <mergeCell ref="I145:I146"/>
    <mergeCell ref="I170:I172"/>
    <mergeCell ref="I173:I174"/>
    <mergeCell ref="I192:I193"/>
    <mergeCell ref="I91:I104"/>
    <mergeCell ref="G93:G95"/>
    <mergeCell ref="G101:G104"/>
    <mergeCell ref="G125:G128"/>
    <mergeCell ref="G140:I140"/>
    <mergeCell ref="H119:H132"/>
    <mergeCell ref="I119:I132"/>
    <mergeCell ref="I114:I116"/>
    <mergeCell ref="I117:I118"/>
    <mergeCell ref="A8:A21"/>
    <mergeCell ref="B10:B12"/>
    <mergeCell ref="B18:B21"/>
    <mergeCell ref="C21:D21"/>
    <mergeCell ref="H8:H21"/>
    <mergeCell ref="G1:I1"/>
    <mergeCell ref="A1:F1"/>
    <mergeCell ref="B6:B7"/>
    <mergeCell ref="G6:G7"/>
    <mergeCell ref="I8:I21"/>
    <mergeCell ref="G10:G12"/>
    <mergeCell ref="G18:G21"/>
    <mergeCell ref="G8:G9"/>
    <mergeCell ref="B8:B9"/>
    <mergeCell ref="A3:A5"/>
    <mergeCell ref="A6:A7"/>
    <mergeCell ref="H3:H5"/>
    <mergeCell ref="H6:H7"/>
    <mergeCell ref="B14:B17"/>
    <mergeCell ref="G14:G17"/>
    <mergeCell ref="I3:I5"/>
    <mergeCell ref="I6:I7"/>
    <mergeCell ref="G3:G5"/>
    <mergeCell ref="B3:B5"/>
    <mergeCell ref="H304:H305"/>
    <mergeCell ref="I304:I305"/>
    <mergeCell ref="B293:B296"/>
    <mergeCell ref="G293:G296"/>
    <mergeCell ref="G229:G230"/>
    <mergeCell ref="B231:B232"/>
    <mergeCell ref="G231:G232"/>
    <mergeCell ref="B237:B240"/>
    <mergeCell ref="H231:H244"/>
    <mergeCell ref="I231:I244"/>
    <mergeCell ref="B233:B235"/>
    <mergeCell ref="G233:G235"/>
    <mergeCell ref="B241:B244"/>
    <mergeCell ref="C244:D244"/>
    <mergeCell ref="G241:G244"/>
    <mergeCell ref="B265:B268"/>
    <mergeCell ref="G265:G268"/>
    <mergeCell ref="H276:H277"/>
    <mergeCell ref="H254:H256"/>
    <mergeCell ref="H245:H247"/>
    <mergeCell ref="H259:H272"/>
    <mergeCell ref="G280:I280"/>
    <mergeCell ref="D280:F280"/>
    <mergeCell ref="D252:F252"/>
    <mergeCell ref="H301:H303"/>
    <mergeCell ref="I301:I303"/>
    <mergeCell ref="H229:H230"/>
    <mergeCell ref="H285:H286"/>
    <mergeCell ref="A304:A305"/>
    <mergeCell ref="H220:H221"/>
    <mergeCell ref="G168:I168"/>
    <mergeCell ref="G185:G188"/>
    <mergeCell ref="G237:G240"/>
    <mergeCell ref="G257:G258"/>
    <mergeCell ref="G252:I252"/>
    <mergeCell ref="B229:B230"/>
    <mergeCell ref="A254:A256"/>
    <mergeCell ref="A257:A258"/>
    <mergeCell ref="B257:B258"/>
    <mergeCell ref="I189:I191"/>
    <mergeCell ref="B181:B184"/>
    <mergeCell ref="G181:G184"/>
    <mergeCell ref="A175:A188"/>
    <mergeCell ref="I175:I188"/>
    <mergeCell ref="B177:B179"/>
    <mergeCell ref="G177:G179"/>
    <mergeCell ref="A226:A228"/>
    <mergeCell ref="A229:A230"/>
    <mergeCell ref="H287:H300"/>
    <mergeCell ref="I287:I300"/>
    <mergeCell ref="B297:B300"/>
    <mergeCell ref="A285:A286"/>
    <mergeCell ref="A231:A244"/>
    <mergeCell ref="G269:G272"/>
    <mergeCell ref="C272:D272"/>
    <mergeCell ref="B259:B260"/>
    <mergeCell ref="G259:G260"/>
    <mergeCell ref="B285:B286"/>
    <mergeCell ref="G285:G286"/>
    <mergeCell ref="I282:I284"/>
    <mergeCell ref="I285:I286"/>
    <mergeCell ref="A282:A284"/>
    <mergeCell ref="A259:A272"/>
    <mergeCell ref="I259:I272"/>
    <mergeCell ref="B261:B263"/>
    <mergeCell ref="G261:G263"/>
    <mergeCell ref="B269:B272"/>
    <mergeCell ref="I245:I247"/>
    <mergeCell ref="I248:I249"/>
    <mergeCell ref="I276:I277"/>
    <mergeCell ref="H282:H284"/>
    <mergeCell ref="H273:H275"/>
    <mergeCell ref="A301:A303"/>
    <mergeCell ref="G297:G300"/>
    <mergeCell ref="C300:D300"/>
    <mergeCell ref="B289:B291"/>
    <mergeCell ref="G289:G291"/>
    <mergeCell ref="B287:B288"/>
    <mergeCell ref="G287:G288"/>
    <mergeCell ref="G254:G256"/>
    <mergeCell ref="G282:G284"/>
    <mergeCell ref="A276:A277"/>
    <mergeCell ref="A287:A300"/>
    <mergeCell ref="H22:H24"/>
    <mergeCell ref="I22:I24"/>
    <mergeCell ref="A36:A49"/>
    <mergeCell ref="H36:H49"/>
    <mergeCell ref="I36:I49"/>
    <mergeCell ref="B38:B40"/>
    <mergeCell ref="G38:G40"/>
    <mergeCell ref="I50:I52"/>
    <mergeCell ref="B61:B62"/>
    <mergeCell ref="G61:G62"/>
    <mergeCell ref="G56:I56"/>
    <mergeCell ref="I53:I54"/>
    <mergeCell ref="I25:I26"/>
    <mergeCell ref="B36:B37"/>
    <mergeCell ref="G36:G37"/>
    <mergeCell ref="B42:B45"/>
    <mergeCell ref="B34:B35"/>
    <mergeCell ref="A53:A54"/>
    <mergeCell ref="A58:A60"/>
    <mergeCell ref="A61:A62"/>
    <mergeCell ref="A22:A24"/>
    <mergeCell ref="H25:H26"/>
    <mergeCell ref="H53:H54"/>
    <mergeCell ref="A31:A33"/>
    <mergeCell ref="H63:H76"/>
    <mergeCell ref="I63:I76"/>
    <mergeCell ref="B65:B67"/>
    <mergeCell ref="G65:G67"/>
    <mergeCell ref="B73:B76"/>
    <mergeCell ref="G73:G76"/>
    <mergeCell ref="C76:D76"/>
    <mergeCell ref="B46:B49"/>
    <mergeCell ref="G46:G49"/>
    <mergeCell ref="C49:D49"/>
    <mergeCell ref="D56:F56"/>
    <mergeCell ref="I58:I60"/>
    <mergeCell ref="I61:I62"/>
    <mergeCell ref="B63:B64"/>
    <mergeCell ref="G63:G64"/>
    <mergeCell ref="I226:I228"/>
    <mergeCell ref="I229:I230"/>
    <mergeCell ref="I254:I256"/>
    <mergeCell ref="I257:I258"/>
    <mergeCell ref="I203:I216"/>
    <mergeCell ref="B203:B204"/>
    <mergeCell ref="I217:I219"/>
    <mergeCell ref="H226:H228"/>
    <mergeCell ref="G224:I224"/>
    <mergeCell ref="D224:F224"/>
    <mergeCell ref="G226:G228"/>
    <mergeCell ref="H203:H216"/>
    <mergeCell ref="C216:D216"/>
    <mergeCell ref="G209:G212"/>
    <mergeCell ref="G203:G204"/>
    <mergeCell ref="I220:I221"/>
    <mergeCell ref="A245:A247"/>
    <mergeCell ref="A273:A275"/>
    <mergeCell ref="A25:A26"/>
    <mergeCell ref="A80:A81"/>
    <mergeCell ref="A108:A109"/>
    <mergeCell ref="A136:A137"/>
    <mergeCell ref="A164:A165"/>
    <mergeCell ref="A192:A193"/>
    <mergeCell ref="A220:A221"/>
    <mergeCell ref="A248:A249"/>
    <mergeCell ref="A63:A76"/>
    <mergeCell ref="A50:A52"/>
    <mergeCell ref="A170:A172"/>
    <mergeCell ref="A34:A35"/>
    <mergeCell ref="A198:A200"/>
    <mergeCell ref="A201:A202"/>
    <mergeCell ref="A203:A216"/>
    <mergeCell ref="A77:A79"/>
    <mergeCell ref="A105:A107"/>
    <mergeCell ref="A133:A135"/>
    <mergeCell ref="A161:A163"/>
    <mergeCell ref="A189:A191"/>
    <mergeCell ref="A217:A219"/>
    <mergeCell ref="D168:F168"/>
    <mergeCell ref="H161:H163"/>
    <mergeCell ref="D196:F196"/>
    <mergeCell ref="I86:I88"/>
    <mergeCell ref="I89:I90"/>
    <mergeCell ref="B201:B202"/>
    <mergeCell ref="G201:G202"/>
    <mergeCell ref="G196:I196"/>
    <mergeCell ref="H198:H200"/>
    <mergeCell ref="H201:H202"/>
    <mergeCell ref="I198:I200"/>
    <mergeCell ref="I201:I202"/>
    <mergeCell ref="H173:H174"/>
    <mergeCell ref="H170:H172"/>
    <mergeCell ref="I142:I144"/>
    <mergeCell ref="I105:I107"/>
    <mergeCell ref="G114:G116"/>
    <mergeCell ref="G142:G144"/>
    <mergeCell ref="G170:G172"/>
    <mergeCell ref="G198:G200"/>
    <mergeCell ref="H136:H137"/>
    <mergeCell ref="I136:I137"/>
    <mergeCell ref="I147:I160"/>
    <mergeCell ref="H192:H193"/>
  </mergeCells>
  <conditionalFormatting sqref="I3:I26 I31:I54 I58:I81 I86:I109 I114:I137 I142:I165 I170:I193 I198:I221 I226:I249 I254:I277 I282:I305">
    <cfRule type="containsText" dxfId="4" priority="1" stopIfTrue="1" operator="containsText" text="Functioning At Risk">
      <formula>NOT(ISERROR(SEARCH("Functioning At Risk",I3)))</formula>
    </cfRule>
    <cfRule type="containsText" dxfId="3" priority="2" stopIfTrue="1" operator="containsText" text="Not Functioning">
      <formula>NOT(ISERROR(SEARCH("Not Functioning",I3)))</formula>
    </cfRule>
    <cfRule type="containsText" dxfId="2" priority="3" operator="containsText" text="Functioning">
      <formula>NOT(ISERROR(SEARCH("Functioning",I3)))</formula>
    </cfRule>
  </conditionalFormatting>
  <dataValidations count="5">
    <dataValidation allowBlank="1" showErrorMessage="1" prompt="Select catchment conditon level from the completed catchment assessment form. " sqref="E31 E142 E170 E114 E198 E254 E86 E3 E226 E58 E88 E256 E5 E228 E60 E33 E144 E116 E200 E172 E282 E284"/>
    <dataValidation type="decimal" allowBlank="1" showInputMessage="1" showErrorMessage="1" sqref="E129:E130 E213:E214 E269:E270 E185:E186 E101:E102 E18:E19 E241:E242 E73:E74 E46:E47 E157:E158 E297:E298">
      <formula1>0</formula1>
      <formula2>5280</formula2>
    </dataValidation>
    <dataValidation allowBlank="1" showErrorMessage="1" sqref="E13 E68 E208 E236 E124 E96 E180 E264 E152 E41 E292"/>
    <dataValidation type="decimal" allowBlank="1" showErrorMessage="1" prompt="The user should input a value for either basal area or density, not both. " sqref="E215:E216 E271:E272 E187:E188 E103:E104 E20:E21 E243:E244 E75:E76 E48:E49 E159:E160 E131:E132 E299:E300">
      <formula1>0</formula1>
      <formula2>5280</formula2>
    </dataValidation>
    <dataValidation allowBlank="1" showErrorMessage="1" prompt="This measurement method should be used in combination with either Erosion Rate or Dominant BEHI/NBS." sqref="E234:E235 E178:E179 E122:E123 E11:E12 E39:E40 E66:E67 E94:E95 E150:E151 E206:E207 E262:E263 E290:E291"/>
  </dataValidations>
  <pageMargins left="0.25" right="0.25" top="0.75" bottom="0.75" header="0.3" footer="0.3"/>
  <pageSetup paperSize="3" scale="82" fitToHeight="0" orientation="landscape" r:id="rId1"/>
  <rowBreaks count="10" manualBreakCount="10">
    <brk id="27" max="16383" man="1"/>
    <brk id="54" max="16383" man="1"/>
    <brk id="81" max="16383" man="1"/>
    <brk id="110" max="16383" man="1"/>
    <brk id="138" max="16383" man="1"/>
    <brk id="166" max="16383" man="1"/>
    <brk id="194" max="16383" man="1"/>
    <brk id="222" max="16383" man="1"/>
    <brk id="250" max="16383" man="1"/>
    <brk id="278" max="16383" man="1"/>
  </rowBreaks>
  <extLst>
    <ext xmlns:x14="http://schemas.microsoft.com/office/spreadsheetml/2009/9/main" uri="{CCE6A557-97BC-4b89-ADB6-D9C93CAAB3DF}">
      <x14:dataValidations xmlns:xm="http://schemas.microsoft.com/office/excel/2006/main" count="1">
        <x14:dataValidation type="list" allowBlank="1" showErrorMessage="1" prompt="Select the dominant BEHI/NBS.  _x000a_If erosion rate was measured select blank. The user should only input a value for either BEHI/NBS or Erosion Rate, not both. ">
          <x14:formula1>
            <xm:f>'Pull Down Notes'!$B$22:$B$59</xm:f>
          </x14:formula1>
          <xm:sqref>E10 E289 E261 E233 E205 E177 E149 E121 E93 E65 E38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S32"/>
  <sheetViews>
    <sheetView zoomScale="85" zoomScaleNormal="85" workbookViewId="0"/>
  </sheetViews>
  <sheetFormatPr defaultRowHeight="14.4" x14ac:dyDescent="0.3"/>
  <cols>
    <col min="1" max="1" width="19.6640625" bestFit="1" customWidth="1"/>
    <col min="2" max="2" width="31.33203125" bestFit="1" customWidth="1"/>
    <col min="3" max="3" width="14.6640625" customWidth="1"/>
    <col min="4" max="4" width="14.33203125" customWidth="1"/>
    <col min="5" max="5" width="10.33203125" customWidth="1"/>
    <col min="6" max="15" width="10.6640625" customWidth="1"/>
  </cols>
  <sheetData>
    <row r="2" spans="1:15" ht="28.95" customHeight="1" x14ac:dyDescent="0.3">
      <c r="A2" s="599" t="s">
        <v>105</v>
      </c>
      <c r="B2" s="600"/>
      <c r="C2" s="600"/>
      <c r="D2" s="600"/>
      <c r="E2" s="600"/>
      <c r="F2" s="600"/>
      <c r="G2" s="600"/>
      <c r="H2" s="600"/>
      <c r="I2" s="600"/>
      <c r="J2" s="600"/>
      <c r="K2" s="600"/>
      <c r="L2" s="600"/>
      <c r="M2" s="600"/>
      <c r="N2" s="600"/>
      <c r="O2" s="601"/>
    </row>
    <row r="3" spans="1:15" ht="18" x14ac:dyDescent="0.3">
      <c r="A3" s="594" t="s">
        <v>1</v>
      </c>
      <c r="B3" s="594" t="s">
        <v>2</v>
      </c>
      <c r="C3" s="602" t="s">
        <v>58</v>
      </c>
      <c r="D3" s="602" t="s">
        <v>59</v>
      </c>
      <c r="E3" s="594" t="s">
        <v>117</v>
      </c>
      <c r="F3" s="596" t="s">
        <v>120</v>
      </c>
      <c r="G3" s="597"/>
      <c r="H3" s="597"/>
      <c r="I3" s="597"/>
      <c r="J3" s="597"/>
      <c r="K3" s="597"/>
      <c r="L3" s="597"/>
      <c r="M3" s="597"/>
      <c r="N3" s="597"/>
      <c r="O3" s="598"/>
    </row>
    <row r="4" spans="1:15" ht="18" x14ac:dyDescent="0.3">
      <c r="A4" s="595"/>
      <c r="B4" s="595"/>
      <c r="C4" s="603"/>
      <c r="D4" s="603"/>
      <c r="E4" s="595"/>
      <c r="F4" s="33">
        <f>IF('Monitoring Data'!B29="","#N/A",'Monitoring Data'!B29)</f>
        <v>1</v>
      </c>
      <c r="G4" s="33">
        <f>IF('Monitoring Data'!B56="","#N/A",'Monitoring Data'!B56)</f>
        <v>2</v>
      </c>
      <c r="H4" s="33">
        <f>IF('Monitoring Data'!B84="","#N/A",'Monitoring Data'!B84)</f>
        <v>3</v>
      </c>
      <c r="I4" s="33">
        <f>IF('Monitoring Data'!B112="","#N/A",'Monitoring Data'!B112)</f>
        <v>4</v>
      </c>
      <c r="J4" s="33">
        <f>IF('Monitoring Data'!B140="","#N/A",'Monitoring Data'!B140)</f>
        <v>5</v>
      </c>
      <c r="K4" s="33">
        <f>IF('Monitoring Data'!B168="","#N/A",'Monitoring Data'!B168)</f>
        <v>6</v>
      </c>
      <c r="L4" s="33">
        <f>IF('Monitoring Data'!B196="","#N/A",'Monitoring Data'!B196)</f>
        <v>7</v>
      </c>
      <c r="M4" s="33">
        <f>IF('Monitoring Data'!B224="","#N/A",'Monitoring Data'!B224)</f>
        <v>8</v>
      </c>
      <c r="N4" s="33">
        <f>IF('Monitoring Data'!B252="","#N/A",'Monitoring Data'!B252)</f>
        <v>9</v>
      </c>
      <c r="O4" s="33">
        <f>IF('Monitoring Data'!B280="","#N/A",'Monitoring Data'!B280)</f>
        <v>10</v>
      </c>
    </row>
    <row r="5" spans="1:15" ht="15.6" x14ac:dyDescent="0.3">
      <c r="A5" s="290" t="s">
        <v>202</v>
      </c>
      <c r="B5" s="193" t="s">
        <v>113</v>
      </c>
      <c r="C5" s="29" t="str">
        <f>'Quantification Tool'!G45</f>
        <v/>
      </c>
      <c r="D5" s="29" t="str">
        <f>'Quantification Tool'!G73</f>
        <v/>
      </c>
      <c r="E5" s="14" t="str">
        <f>'Monitoring Data'!G3</f>
        <v/>
      </c>
      <c r="F5" s="14" t="str">
        <f>'Monitoring Data'!G31</f>
        <v/>
      </c>
      <c r="G5" s="14" t="str">
        <f>'Monitoring Data'!G58</f>
        <v/>
      </c>
      <c r="H5" s="14" t="str">
        <f>'Monitoring Data'!G86</f>
        <v/>
      </c>
      <c r="I5" s="14" t="str">
        <f>'Monitoring Data'!G114</f>
        <v/>
      </c>
      <c r="J5" s="14" t="str">
        <f>'Monitoring Data'!G142</f>
        <v/>
      </c>
      <c r="K5" s="14" t="str">
        <f>'Monitoring Data'!G170</f>
        <v/>
      </c>
      <c r="L5" s="14" t="str">
        <f>'Monitoring Data'!G198</f>
        <v/>
      </c>
      <c r="M5" s="14" t="str">
        <f>'Monitoring Data'!G226</f>
        <v/>
      </c>
      <c r="N5" s="14" t="str">
        <f>'Monitoring Data'!G254</f>
        <v/>
      </c>
      <c r="O5" s="14" t="str">
        <f>'Monitoring Data'!G282</f>
        <v/>
      </c>
    </row>
    <row r="6" spans="1:15" ht="15.6" x14ac:dyDescent="0.3">
      <c r="A6" s="198" t="s">
        <v>200</v>
      </c>
      <c r="B6" s="62" t="s">
        <v>5</v>
      </c>
      <c r="C6" s="29" t="str">
        <f>'Quantification Tool'!G48</f>
        <v/>
      </c>
      <c r="D6" s="29" t="str">
        <f>'Quantification Tool'!G76</f>
        <v/>
      </c>
      <c r="E6" s="14" t="str">
        <f>'Monitoring Data'!G6</f>
        <v/>
      </c>
      <c r="F6" s="14" t="str">
        <f>'Monitoring Data'!G34</f>
        <v/>
      </c>
      <c r="G6" s="14" t="str">
        <f>'Monitoring Data'!G61</f>
        <v/>
      </c>
      <c r="H6" s="14" t="str">
        <f>'Monitoring Data'!G89</f>
        <v/>
      </c>
      <c r="I6" s="14" t="str">
        <f>'Monitoring Data'!G117</f>
        <v/>
      </c>
      <c r="J6" s="14" t="str">
        <f>'Monitoring Data'!G145</f>
        <v/>
      </c>
      <c r="K6" s="14" t="str">
        <f>'Monitoring Data'!G173</f>
        <v/>
      </c>
      <c r="L6" s="14" t="str">
        <f>'Monitoring Data'!G201</f>
        <v/>
      </c>
      <c r="M6" s="14" t="str">
        <f>'Monitoring Data'!G229</f>
        <v/>
      </c>
      <c r="N6" s="14" t="str">
        <f>'Monitoring Data'!G257</f>
        <v/>
      </c>
      <c r="O6" s="14" t="str">
        <f>'Monitoring Data'!G285</f>
        <v/>
      </c>
    </row>
    <row r="7" spans="1:15" ht="15.6" x14ac:dyDescent="0.3">
      <c r="A7" s="608" t="s">
        <v>20</v>
      </c>
      <c r="B7" s="63" t="s">
        <v>21</v>
      </c>
      <c r="C7" s="29" t="str">
        <f>'Quantification Tool'!G50</f>
        <v/>
      </c>
      <c r="D7" s="29" t="str">
        <f>'Quantification Tool'!G78</f>
        <v/>
      </c>
      <c r="E7" s="14" t="str">
        <f>'Monitoring Data'!G8</f>
        <v/>
      </c>
      <c r="F7" s="14" t="str">
        <f>'Monitoring Data'!G36</f>
        <v/>
      </c>
      <c r="G7" s="14" t="str">
        <f>'Monitoring Data'!G63</f>
        <v/>
      </c>
      <c r="H7" s="14" t="str">
        <f>'Monitoring Data'!G91</f>
        <v/>
      </c>
      <c r="I7" s="14" t="str">
        <f>'Monitoring Data'!G119</f>
        <v/>
      </c>
      <c r="J7" s="14" t="str">
        <f>'Monitoring Data'!G147</f>
        <v/>
      </c>
      <c r="K7" s="14" t="str">
        <f>'Monitoring Data'!G175</f>
        <v/>
      </c>
      <c r="L7" s="14" t="str">
        <f>'Monitoring Data'!G203</f>
        <v/>
      </c>
      <c r="M7" s="14" t="str">
        <f>'Monitoring Data'!G231</f>
        <v/>
      </c>
      <c r="N7" s="14" t="str">
        <f>'Monitoring Data'!G259</f>
        <v/>
      </c>
      <c r="O7" s="14" t="str">
        <f>'Monitoring Data'!G287</f>
        <v/>
      </c>
    </row>
    <row r="8" spans="1:15" ht="15.6" x14ac:dyDescent="0.3">
      <c r="A8" s="609"/>
      <c r="B8" s="19" t="s">
        <v>196</v>
      </c>
      <c r="C8" s="29" t="str">
        <f>'Quantification Tool'!G52</f>
        <v/>
      </c>
      <c r="D8" s="29" t="str">
        <f>'Quantification Tool'!G80</f>
        <v/>
      </c>
      <c r="E8" s="14" t="str">
        <f>'Monitoring Data'!G10</f>
        <v/>
      </c>
      <c r="F8" s="14" t="str">
        <f>'Monitoring Data'!G38</f>
        <v/>
      </c>
      <c r="G8" s="14" t="str">
        <f>'Monitoring Data'!G65</f>
        <v/>
      </c>
      <c r="H8" s="14" t="str">
        <f>'Monitoring Data'!G93</f>
        <v/>
      </c>
      <c r="I8" s="14" t="str">
        <f>'Monitoring Data'!G121</f>
        <v/>
      </c>
      <c r="J8" s="14" t="str">
        <f>'Monitoring Data'!G149</f>
        <v/>
      </c>
      <c r="K8" s="14" t="str">
        <f>'Monitoring Data'!G177</f>
        <v/>
      </c>
      <c r="L8" s="14" t="str">
        <f>'Monitoring Data'!G205</f>
        <v/>
      </c>
      <c r="M8" s="14" t="str">
        <f>'Monitoring Data'!G233</f>
        <v/>
      </c>
      <c r="N8" s="14" t="str">
        <f>'Monitoring Data'!G261</f>
        <v/>
      </c>
      <c r="O8" s="14" t="str">
        <f>'Monitoring Data'!G289</f>
        <v/>
      </c>
    </row>
    <row r="9" spans="1:15" ht="15.6" x14ac:dyDescent="0.3">
      <c r="A9" s="609"/>
      <c r="B9" s="19" t="s">
        <v>97</v>
      </c>
      <c r="C9" s="29" t="str">
        <f>'Quantification Tool'!G55</f>
        <v/>
      </c>
      <c r="D9" s="29" t="str">
        <f>'Quantification Tool'!G83</f>
        <v/>
      </c>
      <c r="E9" s="14" t="str">
        <f>'Monitoring Data'!G13</f>
        <v/>
      </c>
      <c r="F9" s="14" t="str">
        <f>'Monitoring Data'!G41</f>
        <v/>
      </c>
      <c r="G9" s="14" t="str">
        <f>'Monitoring Data'!G68</f>
        <v/>
      </c>
      <c r="H9" s="14" t="str">
        <f>'Monitoring Data'!G96</f>
        <v/>
      </c>
      <c r="I9" s="14" t="str">
        <f>'Monitoring Data'!G124</f>
        <v/>
      </c>
      <c r="J9" s="14" t="str">
        <f>'Monitoring Data'!G152</f>
        <v/>
      </c>
      <c r="K9" s="14" t="str">
        <f>'Monitoring Data'!G180</f>
        <v/>
      </c>
      <c r="L9" s="14" t="str">
        <f>'Monitoring Data'!G208</f>
        <v/>
      </c>
      <c r="M9" s="14" t="str">
        <f>'Monitoring Data'!G236</f>
        <v/>
      </c>
      <c r="N9" s="14" t="str">
        <f>'Monitoring Data'!G264</f>
        <v/>
      </c>
      <c r="O9" s="14" t="str">
        <f>'Monitoring Data'!G292</f>
        <v/>
      </c>
    </row>
    <row r="10" spans="1:15" ht="15.6" x14ac:dyDescent="0.3">
      <c r="A10" s="609"/>
      <c r="B10" s="63" t="s">
        <v>45</v>
      </c>
      <c r="C10" s="29" t="str">
        <f>'Quantification Tool'!G56</f>
        <v/>
      </c>
      <c r="D10" s="29" t="str">
        <f>'Quantification Tool'!G84</f>
        <v/>
      </c>
      <c r="E10" s="14" t="str">
        <f>'Monitoring Data'!G14</f>
        <v/>
      </c>
      <c r="F10" s="14" t="str">
        <f>'Monitoring Data'!G42</f>
        <v/>
      </c>
      <c r="G10" s="14" t="str">
        <f>'Monitoring Data'!G69</f>
        <v/>
      </c>
      <c r="H10" s="14" t="str">
        <f>'Monitoring Data'!G97</f>
        <v/>
      </c>
      <c r="I10" s="14" t="str">
        <f>'Monitoring Data'!G125</f>
        <v/>
      </c>
      <c r="J10" s="14" t="str">
        <f>'Monitoring Data'!G153</f>
        <v/>
      </c>
      <c r="K10" s="14" t="str">
        <f>'Monitoring Data'!G181</f>
        <v/>
      </c>
      <c r="L10" s="14" t="str">
        <f>'Monitoring Data'!G209</f>
        <v/>
      </c>
      <c r="M10" s="14" t="str">
        <f>'Monitoring Data'!G237</f>
        <v/>
      </c>
      <c r="N10" s="14" t="str">
        <f>'Monitoring Data'!G265</f>
        <v/>
      </c>
      <c r="O10" s="14" t="str">
        <f>'Monitoring Data'!G293</f>
        <v/>
      </c>
    </row>
    <row r="11" spans="1:15" ht="15.6" x14ac:dyDescent="0.3">
      <c r="A11" s="610"/>
      <c r="B11" s="63" t="s">
        <v>44</v>
      </c>
      <c r="C11" s="29" t="str">
        <f>'Quantification Tool'!G60</f>
        <v/>
      </c>
      <c r="D11" s="29" t="str">
        <f>'Quantification Tool'!G88</f>
        <v/>
      </c>
      <c r="E11" s="14" t="str">
        <f>'Monitoring Data'!G18</f>
        <v/>
      </c>
      <c r="F11" s="14" t="str">
        <f>'Monitoring Data'!G46</f>
        <v/>
      </c>
      <c r="G11" s="14" t="str">
        <f>'Monitoring Data'!G73</f>
        <v/>
      </c>
      <c r="H11" s="14" t="str">
        <f>'Monitoring Data'!G101</f>
        <v/>
      </c>
      <c r="I11" s="14" t="str">
        <f>'Monitoring Data'!G129</f>
        <v/>
      </c>
      <c r="J11" s="14" t="str">
        <f>'Monitoring Data'!G157</f>
        <v/>
      </c>
      <c r="K11" s="14" t="str">
        <f>'Monitoring Data'!G185</f>
        <v/>
      </c>
      <c r="L11" s="14" t="str">
        <f>'Monitoring Data'!G213</f>
        <v/>
      </c>
      <c r="M11" s="14" t="str">
        <f>'Monitoring Data'!G241</f>
        <v/>
      </c>
      <c r="N11" s="14" t="str">
        <f>'Monitoring Data'!G269</f>
        <v/>
      </c>
      <c r="O11" s="14" t="str">
        <f>'Monitoring Data'!G297</f>
        <v/>
      </c>
    </row>
    <row r="12" spans="1:15" ht="15.6" x14ac:dyDescent="0.3">
      <c r="A12" s="611" t="s">
        <v>51</v>
      </c>
      <c r="B12" s="64" t="s">
        <v>74</v>
      </c>
      <c r="C12" s="29" t="str">
        <f>'Quantification Tool'!G64</f>
        <v/>
      </c>
      <c r="D12" s="29" t="str">
        <f>'Quantification Tool'!G92</f>
        <v/>
      </c>
      <c r="E12" s="14" t="str">
        <f>'Monitoring Data'!G22</f>
        <v/>
      </c>
      <c r="F12" s="14" t="str">
        <f>'Monitoring Data'!G50</f>
        <v/>
      </c>
      <c r="G12" s="14" t="str">
        <f>'Monitoring Data'!G77</f>
        <v/>
      </c>
      <c r="H12" s="14" t="str">
        <f>'Monitoring Data'!G105</f>
        <v/>
      </c>
      <c r="I12" s="14" t="str">
        <f>'Monitoring Data'!G133</f>
        <v/>
      </c>
      <c r="J12" s="14" t="str">
        <f>'Monitoring Data'!G161</f>
        <v/>
      </c>
      <c r="K12" s="14" t="str">
        <f>'Monitoring Data'!G189</f>
        <v/>
      </c>
      <c r="L12" s="14" t="str">
        <f>'Monitoring Data'!G217</f>
        <v/>
      </c>
      <c r="M12" s="14" t="str">
        <f>'Monitoring Data'!G245</f>
        <v/>
      </c>
      <c r="N12" s="14" t="str">
        <f>'Monitoring Data'!G273</f>
        <v/>
      </c>
      <c r="O12" s="14" t="str">
        <f>'Monitoring Data'!G301</f>
        <v/>
      </c>
    </row>
    <row r="13" spans="1:15" ht="15.6" x14ac:dyDescent="0.3">
      <c r="A13" s="612"/>
      <c r="B13" s="64" t="s">
        <v>280</v>
      </c>
      <c r="C13" s="29" t="str">
        <f>'Quantification Tool'!G65</f>
        <v/>
      </c>
      <c r="D13" s="29" t="str">
        <f>'Quantification Tool'!G93</f>
        <v/>
      </c>
      <c r="E13" s="14" t="str">
        <f>'Monitoring Data'!G23</f>
        <v/>
      </c>
      <c r="F13" s="14" t="str">
        <f>'Monitoring Data'!G51</f>
        <v/>
      </c>
      <c r="G13" s="14" t="str">
        <f>'Monitoring Data'!G78</f>
        <v/>
      </c>
      <c r="H13" s="14" t="str">
        <f>'Monitoring Data'!G106</f>
        <v/>
      </c>
      <c r="I13" s="14" t="str">
        <f>'Monitoring Data'!G134</f>
        <v/>
      </c>
      <c r="J13" s="14" t="str">
        <f>'Monitoring Data'!G162</f>
        <v/>
      </c>
      <c r="K13" s="14" t="str">
        <f>'Monitoring Data'!G190</f>
        <v/>
      </c>
      <c r="L13" s="14" t="str">
        <f>'Monitoring Data'!G218</f>
        <v/>
      </c>
      <c r="M13" s="14" t="str">
        <f>'Monitoring Data'!G246</f>
        <v/>
      </c>
      <c r="N13" s="14" t="str">
        <f>'Monitoring Data'!G274</f>
        <v/>
      </c>
      <c r="O13" s="14" t="str">
        <f>'Monitoring Data'!G302</f>
        <v/>
      </c>
    </row>
    <row r="14" spans="1:15" ht="15.6" x14ac:dyDescent="0.3">
      <c r="A14" s="613"/>
      <c r="B14" s="64" t="s">
        <v>293</v>
      </c>
      <c r="C14" s="29" t="str">
        <f>'Quantification Tool'!G66</f>
        <v/>
      </c>
      <c r="D14" s="29" t="str">
        <f>'Quantification Tool'!G94</f>
        <v/>
      </c>
      <c r="E14" s="14" t="str">
        <f>'Monitoring Data'!G24</f>
        <v/>
      </c>
      <c r="F14" s="14" t="str">
        <f>'Monitoring Data'!G52</f>
        <v/>
      </c>
      <c r="G14" s="14" t="str">
        <f>'Monitoring Data'!G79</f>
        <v/>
      </c>
      <c r="H14" s="14" t="str">
        <f>'Monitoring Data'!G107</f>
        <v/>
      </c>
      <c r="I14" s="14" t="str">
        <f>'Monitoring Data'!G135</f>
        <v/>
      </c>
      <c r="J14" s="14" t="str">
        <f>'Monitoring Data'!G163</f>
        <v/>
      </c>
      <c r="K14" s="14" t="str">
        <f>'Monitoring Data'!G191</f>
        <v/>
      </c>
      <c r="L14" s="14" t="str">
        <f>'Monitoring Data'!G219</f>
        <v/>
      </c>
      <c r="M14" s="14" t="str">
        <f>'Monitoring Data'!G247</f>
        <v/>
      </c>
      <c r="N14" s="14" t="str">
        <f>'Monitoring Data'!G275</f>
        <v/>
      </c>
      <c r="O14" s="14" t="str">
        <f>'Monitoring Data'!G303</f>
        <v/>
      </c>
    </row>
    <row r="15" spans="1:15" ht="15.6" x14ac:dyDescent="0.3">
      <c r="A15" s="616" t="s">
        <v>52</v>
      </c>
      <c r="B15" s="20" t="s">
        <v>129</v>
      </c>
      <c r="C15" s="29" t="str">
        <f>'Quantification Tool'!G67</f>
        <v/>
      </c>
      <c r="D15" s="29" t="str">
        <f>'Quantification Tool'!G95</f>
        <v/>
      </c>
      <c r="E15" s="14" t="str">
        <f>'Monitoring Data'!G25</f>
        <v/>
      </c>
      <c r="F15" s="14" t="str">
        <f>'Monitoring Data'!G53</f>
        <v/>
      </c>
      <c r="G15" s="14" t="str">
        <f>'Monitoring Data'!G80</f>
        <v/>
      </c>
      <c r="H15" s="14" t="str">
        <f>'Monitoring Data'!G108</f>
        <v/>
      </c>
      <c r="I15" s="14" t="str">
        <f>'Monitoring Data'!G136</f>
        <v/>
      </c>
      <c r="J15" s="14" t="str">
        <f>'Monitoring Data'!G164</f>
        <v/>
      </c>
      <c r="K15" s="14" t="str">
        <f>'Monitoring Data'!G192</f>
        <v/>
      </c>
      <c r="L15" s="14" t="str">
        <f>'Monitoring Data'!G220</f>
        <v/>
      </c>
      <c r="M15" s="14" t="str">
        <f>'Monitoring Data'!G248</f>
        <v/>
      </c>
      <c r="N15" s="14" t="str">
        <f>'Monitoring Data'!G276</f>
        <v/>
      </c>
      <c r="O15" s="14" t="str">
        <f>'Monitoring Data'!G304</f>
        <v/>
      </c>
    </row>
    <row r="16" spans="1:15" ht="15.6" x14ac:dyDescent="0.3">
      <c r="A16" s="617"/>
      <c r="B16" s="66" t="s">
        <v>70</v>
      </c>
      <c r="C16" s="29" t="str">
        <f>'Quantification Tool'!G68</f>
        <v/>
      </c>
      <c r="D16" s="29" t="str">
        <f>'Quantification Tool'!G96</f>
        <v/>
      </c>
      <c r="E16" s="14" t="str">
        <f>'Monitoring Data'!G26</f>
        <v/>
      </c>
      <c r="F16" s="14" t="str">
        <f>'Monitoring Data'!G54</f>
        <v/>
      </c>
      <c r="G16" s="14" t="str">
        <f>'Monitoring Data'!G81</f>
        <v/>
      </c>
      <c r="H16" s="14" t="str">
        <f>'Monitoring Data'!G109</f>
        <v/>
      </c>
      <c r="I16" s="14" t="str">
        <f>'Monitoring Data'!G137</f>
        <v/>
      </c>
      <c r="J16" s="14" t="str">
        <f>'Monitoring Data'!G165</f>
        <v/>
      </c>
      <c r="K16" s="14" t="str">
        <f>'Monitoring Data'!G193</f>
        <v/>
      </c>
      <c r="L16" s="14" t="str">
        <f>'Monitoring Data'!G221</f>
        <v/>
      </c>
      <c r="M16" s="14" t="str">
        <f>'Monitoring Data'!G249</f>
        <v/>
      </c>
      <c r="N16" s="14" t="str">
        <f>'Monitoring Data'!G277</f>
        <v/>
      </c>
      <c r="O16" s="14" t="str">
        <f>'Monitoring Data'!G305</f>
        <v/>
      </c>
    </row>
    <row r="19" spans="1:19" ht="32.4" customHeight="1" x14ac:dyDescent="0.3">
      <c r="A19" s="599" t="s">
        <v>93</v>
      </c>
      <c r="B19" s="600"/>
      <c r="C19" s="600"/>
      <c r="D19" s="600"/>
      <c r="E19" s="600"/>
      <c r="F19" s="600"/>
      <c r="G19" s="600"/>
      <c r="H19" s="600"/>
      <c r="I19" s="600"/>
      <c r="J19" s="600"/>
      <c r="K19" s="600"/>
      <c r="L19" s="600"/>
      <c r="M19" s="600"/>
      <c r="N19" s="600"/>
      <c r="O19" s="601"/>
    </row>
    <row r="20" spans="1:19" ht="18" x14ac:dyDescent="0.3">
      <c r="A20" s="604" t="s">
        <v>94</v>
      </c>
      <c r="B20" s="605"/>
      <c r="C20" s="592" t="s">
        <v>95</v>
      </c>
      <c r="D20" s="592" t="s">
        <v>96</v>
      </c>
      <c r="E20" s="594" t="s">
        <v>117</v>
      </c>
      <c r="F20" s="596" t="s">
        <v>120</v>
      </c>
      <c r="G20" s="597"/>
      <c r="H20" s="597"/>
      <c r="I20" s="597"/>
      <c r="J20" s="597"/>
      <c r="K20" s="597"/>
      <c r="L20" s="597"/>
      <c r="M20" s="597"/>
      <c r="N20" s="597"/>
      <c r="O20" s="598"/>
      <c r="P20" s="25"/>
      <c r="Q20" s="25"/>
    </row>
    <row r="21" spans="1:19" ht="18" x14ac:dyDescent="0.3">
      <c r="A21" s="606"/>
      <c r="B21" s="607"/>
      <c r="C21" s="593"/>
      <c r="D21" s="593"/>
      <c r="E21" s="595"/>
      <c r="F21" s="32">
        <f t="shared" ref="F21:O21" si="0">F4</f>
        <v>1</v>
      </c>
      <c r="G21" s="32">
        <f t="shared" si="0"/>
        <v>2</v>
      </c>
      <c r="H21" s="32">
        <f t="shared" si="0"/>
        <v>3</v>
      </c>
      <c r="I21" s="32">
        <f t="shared" si="0"/>
        <v>4</v>
      </c>
      <c r="J21" s="32">
        <f t="shared" si="0"/>
        <v>5</v>
      </c>
      <c r="K21" s="32">
        <f t="shared" si="0"/>
        <v>6</v>
      </c>
      <c r="L21" s="32">
        <f t="shared" si="0"/>
        <v>7</v>
      </c>
      <c r="M21" s="32">
        <f t="shared" si="0"/>
        <v>8</v>
      </c>
      <c r="N21" s="32">
        <f t="shared" si="0"/>
        <v>9</v>
      </c>
      <c r="O21" s="32">
        <f t="shared" si="0"/>
        <v>10</v>
      </c>
      <c r="P21" s="25"/>
      <c r="Q21" s="25"/>
    </row>
    <row r="22" spans="1:19" ht="18" x14ac:dyDescent="0.3">
      <c r="A22" s="620" t="s">
        <v>202</v>
      </c>
      <c r="B22" s="620"/>
      <c r="C22" s="30" t="str">
        <f>'Quantification Tool'!H29</f>
        <v/>
      </c>
      <c r="D22" s="30" t="str">
        <f>'Quantification Tool'!I29</f>
        <v/>
      </c>
      <c r="E22" s="27" t="str">
        <f>'Monitoring Data'!H3</f>
        <v/>
      </c>
      <c r="F22" s="27" t="str">
        <f>'Monitoring Data'!H31</f>
        <v/>
      </c>
      <c r="G22" s="27" t="str">
        <f>'Monitoring Data'!H58</f>
        <v/>
      </c>
      <c r="H22" s="27" t="str">
        <f>'Monitoring Data'!H86</f>
        <v/>
      </c>
      <c r="I22" s="27" t="str">
        <f>'Monitoring Data'!H114</f>
        <v/>
      </c>
      <c r="J22" s="27" t="str">
        <f>'Monitoring Data'!H142</f>
        <v/>
      </c>
      <c r="K22" s="27" t="str">
        <f>'Monitoring Data'!H170</f>
        <v/>
      </c>
      <c r="L22" s="27" t="str">
        <f>'Monitoring Data'!H198</f>
        <v/>
      </c>
      <c r="M22" s="27" t="str">
        <f>'Monitoring Data'!H226</f>
        <v/>
      </c>
      <c r="N22" s="27" t="str">
        <f>'Monitoring Data'!H254</f>
        <v/>
      </c>
      <c r="O22" s="27" t="str">
        <f>'Monitoring Data'!H282</f>
        <v/>
      </c>
      <c r="P22" s="23"/>
      <c r="Q22" s="24"/>
      <c r="R22" s="22"/>
      <c r="S22" s="22"/>
    </row>
    <row r="23" spans="1:19" ht="18" x14ac:dyDescent="0.3">
      <c r="A23" s="614" t="s">
        <v>200</v>
      </c>
      <c r="B23" s="615"/>
      <c r="C23" s="30" t="str">
        <f>'Quantification Tool'!H31</f>
        <v/>
      </c>
      <c r="D23" s="30" t="str">
        <f>'Quantification Tool'!I31</f>
        <v/>
      </c>
      <c r="E23" s="27" t="str">
        <f>'Monitoring Data'!H6</f>
        <v/>
      </c>
      <c r="F23" s="27" t="str">
        <f>'Monitoring Data'!H34</f>
        <v/>
      </c>
      <c r="G23" s="27" t="str">
        <f>'Monitoring Data'!H61</f>
        <v/>
      </c>
      <c r="H23" s="27" t="str">
        <f>'Monitoring Data'!H89</f>
        <v/>
      </c>
      <c r="I23" s="27" t="str">
        <f>'Monitoring Data'!H117</f>
        <v/>
      </c>
      <c r="J23" s="27" t="str">
        <f>'Monitoring Data'!H145</f>
        <v/>
      </c>
      <c r="K23" s="27" t="str">
        <f>'Monitoring Data'!H173</f>
        <v/>
      </c>
      <c r="L23" s="27" t="str">
        <f>'Monitoring Data'!H201</f>
        <v/>
      </c>
      <c r="M23" s="27" t="str">
        <f>'Monitoring Data'!H229</f>
        <v/>
      </c>
      <c r="N23" s="27" t="str">
        <f>'Monitoring Data'!H257</f>
        <v/>
      </c>
      <c r="O23" s="27" t="str">
        <f>'Monitoring Data'!H285</f>
        <v/>
      </c>
      <c r="P23" s="23"/>
      <c r="Q23" s="24"/>
      <c r="R23" s="22"/>
      <c r="S23" s="22"/>
    </row>
    <row r="24" spans="1:19" ht="18" x14ac:dyDescent="0.3">
      <c r="A24" s="621" t="s">
        <v>20</v>
      </c>
      <c r="B24" s="621"/>
      <c r="C24" s="30" t="str">
        <f>'Quantification Tool'!H33</f>
        <v/>
      </c>
      <c r="D24" s="30" t="str">
        <f>'Quantification Tool'!I33</f>
        <v/>
      </c>
      <c r="E24" s="27" t="str">
        <f>'Monitoring Data'!H8</f>
        <v/>
      </c>
      <c r="F24" s="27" t="str">
        <f>'Monitoring Data'!H36</f>
        <v/>
      </c>
      <c r="G24" s="27" t="str">
        <f>'Monitoring Data'!H63</f>
        <v/>
      </c>
      <c r="H24" s="27" t="str">
        <f>'Monitoring Data'!H91</f>
        <v/>
      </c>
      <c r="I24" s="27" t="str">
        <f>'Monitoring Data'!H119</f>
        <v/>
      </c>
      <c r="J24" s="27" t="str">
        <f>'Monitoring Data'!H147</f>
        <v/>
      </c>
      <c r="K24" s="27" t="str">
        <f>'Monitoring Data'!H175</f>
        <v/>
      </c>
      <c r="L24" s="27" t="str">
        <f>'Monitoring Data'!H203</f>
        <v/>
      </c>
      <c r="M24" s="27" t="str">
        <f>'Monitoring Data'!H231</f>
        <v/>
      </c>
      <c r="N24" s="27" t="str">
        <f>'Monitoring Data'!H259</f>
        <v/>
      </c>
      <c r="O24" s="27" t="str">
        <f>'Monitoring Data'!H287</f>
        <v/>
      </c>
      <c r="P24" s="23"/>
      <c r="Q24" s="24"/>
      <c r="R24" s="22"/>
      <c r="S24" s="22"/>
    </row>
    <row r="25" spans="1:19" ht="18" x14ac:dyDescent="0.3">
      <c r="A25" s="622" t="s">
        <v>51</v>
      </c>
      <c r="B25" s="622"/>
      <c r="C25" s="30" t="str">
        <f>'Quantification Tool'!H35</f>
        <v/>
      </c>
      <c r="D25" s="30" t="str">
        <f>'Quantification Tool'!I35</f>
        <v/>
      </c>
      <c r="E25" s="27" t="str">
        <f>'Monitoring Data'!H22</f>
        <v/>
      </c>
      <c r="F25" s="27" t="str">
        <f>'Monitoring Data'!H50</f>
        <v/>
      </c>
      <c r="G25" s="27" t="str">
        <f>'Monitoring Data'!H77</f>
        <v/>
      </c>
      <c r="H25" s="27" t="str">
        <f>'Monitoring Data'!H105</f>
        <v/>
      </c>
      <c r="I25" s="27" t="str">
        <f>'Monitoring Data'!H133</f>
        <v/>
      </c>
      <c r="J25" s="27" t="str">
        <f>'Monitoring Data'!H161</f>
        <v/>
      </c>
      <c r="K25" s="27" t="str">
        <f>'Monitoring Data'!H189</f>
        <v/>
      </c>
      <c r="L25" s="27" t="str">
        <f>'Monitoring Data'!H217</f>
        <v/>
      </c>
      <c r="M25" s="27" t="str">
        <f>'Monitoring Data'!H245</f>
        <v/>
      </c>
      <c r="N25" s="27" t="str">
        <f>'Monitoring Data'!H273</f>
        <v/>
      </c>
      <c r="O25" s="27" t="str">
        <f>'Monitoring Data'!H301</f>
        <v/>
      </c>
      <c r="P25" s="23"/>
      <c r="Q25" s="24"/>
      <c r="R25" s="22"/>
      <c r="S25" s="22"/>
    </row>
    <row r="26" spans="1:19" ht="18" x14ac:dyDescent="0.3">
      <c r="A26" s="619" t="s">
        <v>52</v>
      </c>
      <c r="B26" s="619"/>
      <c r="C26" s="30" t="str">
        <f>'Quantification Tool'!H37</f>
        <v/>
      </c>
      <c r="D26" s="30" t="str">
        <f>'Quantification Tool'!I37</f>
        <v/>
      </c>
      <c r="E26" s="27" t="str">
        <f>'Monitoring Data'!H25</f>
        <v/>
      </c>
      <c r="F26" s="27" t="str">
        <f>'Monitoring Data'!H53</f>
        <v/>
      </c>
      <c r="G26" s="27" t="str">
        <f>'Monitoring Data'!H80</f>
        <v/>
      </c>
      <c r="H26" s="27" t="str">
        <f>'Monitoring Data'!H108</f>
        <v/>
      </c>
      <c r="I26" s="27" t="str">
        <f>'Monitoring Data'!H136</f>
        <v/>
      </c>
      <c r="J26" s="27" t="str">
        <f>'Monitoring Data'!H164</f>
        <v/>
      </c>
      <c r="K26" s="27" t="str">
        <f>'Monitoring Data'!H192</f>
        <v/>
      </c>
      <c r="L26" s="27" t="str">
        <f>'Monitoring Data'!H220</f>
        <v/>
      </c>
      <c r="M26" s="27" t="str">
        <f>'Monitoring Data'!H248</f>
        <v/>
      </c>
      <c r="N26" s="27" t="str">
        <f>'Monitoring Data'!H276</f>
        <v/>
      </c>
      <c r="O26" s="27" t="str">
        <f>'Monitoring Data'!H304</f>
        <v/>
      </c>
      <c r="P26" s="23"/>
      <c r="Q26" s="23"/>
      <c r="R26" s="22"/>
      <c r="S26" s="22"/>
    </row>
    <row r="27" spans="1:19" ht="18" x14ac:dyDescent="0.35">
      <c r="A27" s="618" t="s">
        <v>118</v>
      </c>
      <c r="B27" s="618"/>
      <c r="C27" s="162">
        <f>ROUND(SUM(IF(C22="",0,C22*0.2),IF(C23="",0,C23*0.2),IF(C24="",0,C24*0.2),IF(C25="",0,C25*0.2),IF(C26="",0,C26*0.2)),2)</f>
        <v>0</v>
      </c>
      <c r="D27" s="162">
        <f>ROUND(SUM(IF(D22="",0,D22*0.2),IF(D23="",0,D23*0.2),IF(D24="",0,D24*0.2),IF(D25="",0,D25*0.2),IF(D26="",0,D26*0.2)),2)</f>
        <v>0</v>
      </c>
      <c r="E27" s="366">
        <f>ROUND(SUM(IF(E22="",0,E22*0.2),IF(E23="",0,E23*0.2),IF(E24="",0,E24*0.2),IF(E25="",0,E25*0.2),IF(E26="",0,E26*0.2)),2)</f>
        <v>0</v>
      </c>
      <c r="F27" s="366">
        <f>ROUND(SUM(IF(F22="",0,F22*0.2),IF(F23="",0,F23*0.2),IF(F24="",0,F24*0.2),IF(F25="",0,F25*0.2),IF(F26="",0,F26*0.2)),2)</f>
        <v>0</v>
      </c>
      <c r="G27" s="366">
        <f t="shared" ref="G27:O27" si="1">ROUND(SUM(IF(G22="",0,G22*0.2),IF(G23="",0,G23*0.2),IF(G24="",0,G24*0.2),IF(G25="",0,G25*0.2),IF(G26="",0,G26*0.2)),2)</f>
        <v>0</v>
      </c>
      <c r="H27" s="366">
        <f t="shared" si="1"/>
        <v>0</v>
      </c>
      <c r="I27" s="366">
        <f t="shared" si="1"/>
        <v>0</v>
      </c>
      <c r="J27" s="366">
        <f t="shared" si="1"/>
        <v>0</v>
      </c>
      <c r="K27" s="366">
        <f t="shared" si="1"/>
        <v>0</v>
      </c>
      <c r="L27" s="366">
        <f t="shared" si="1"/>
        <v>0</v>
      </c>
      <c r="M27" s="366">
        <f t="shared" si="1"/>
        <v>0</v>
      </c>
      <c r="N27" s="366">
        <f t="shared" si="1"/>
        <v>0</v>
      </c>
      <c r="O27" s="366">
        <f t="shared" si="1"/>
        <v>0</v>
      </c>
    </row>
    <row r="28" spans="1:19" ht="18" x14ac:dyDescent="0.35">
      <c r="A28" s="618" t="s">
        <v>119</v>
      </c>
      <c r="B28" s="618"/>
      <c r="C28" s="163">
        <f>ROUND(C27*'Quantification Tool'!B15,0)</f>
        <v>0</v>
      </c>
      <c r="D28" s="164">
        <f>ROUND(D27*'Quantification Tool'!$B$16,0)</f>
        <v>0</v>
      </c>
      <c r="E28" s="165">
        <f>ROUND(E27*'Quantification Tool'!$B$16,0)</f>
        <v>0</v>
      </c>
      <c r="F28" s="165">
        <f>IFERROR(ROUND(F27*'Quantification Tool'!$B$16,0),"")</f>
        <v>0</v>
      </c>
      <c r="G28" s="165">
        <f>IFERROR(ROUND(G27*'Quantification Tool'!$B$16,0),"")</f>
        <v>0</v>
      </c>
      <c r="H28" s="165">
        <f>IFERROR(ROUND(H27*'Quantification Tool'!$B$16,0),"")</f>
        <v>0</v>
      </c>
      <c r="I28" s="165">
        <f>IFERROR(ROUND(I27*'Quantification Tool'!$B$16,0),"")</f>
        <v>0</v>
      </c>
      <c r="J28" s="165">
        <f>IFERROR(ROUND(J27*'Quantification Tool'!$B$16,0),"")</f>
        <v>0</v>
      </c>
      <c r="K28" s="165">
        <f>IFERROR(ROUND(K27*'Quantification Tool'!$B$16,0),"")</f>
        <v>0</v>
      </c>
      <c r="L28" s="165">
        <f>IFERROR(ROUND(L27*'Quantification Tool'!$B$16,0),"")</f>
        <v>0</v>
      </c>
      <c r="M28" s="165">
        <f>IFERROR(ROUND(M27*'Quantification Tool'!$B$16,0),"")</f>
        <v>0</v>
      </c>
      <c r="N28" s="165">
        <f>IFERROR(ROUND(N27*'Quantification Tool'!$B$16,0),"")</f>
        <v>0</v>
      </c>
      <c r="O28" s="165">
        <f>IFERROR(ROUND(O27*'Quantification Tool'!$B$16,0),"")</f>
        <v>0</v>
      </c>
    </row>
    <row r="29" spans="1:19" ht="18" x14ac:dyDescent="0.35">
      <c r="C29" s="26"/>
    </row>
    <row r="31" spans="1:19" x14ac:dyDescent="0.3">
      <c r="A31" s="31" t="s">
        <v>381</v>
      </c>
    </row>
    <row r="32" spans="1:19" x14ac:dyDescent="0.3">
      <c r="A32" s="390">
        <f>IFERROR(O21,IFERROR(N21,IFERROR(M21,IFERROR(L21,IFERROR(K21,IFERROR(J21,IFERROR(I21,IFERROR(H21,IFERROR(G21,F21)))))))))</f>
        <v>10</v>
      </c>
    </row>
  </sheetData>
  <sheetProtection password="9A39" sheet="1" formatRows="0" insertColumns="0"/>
  <mergeCells count="23">
    <mergeCell ref="A23:B23"/>
    <mergeCell ref="A15:A16"/>
    <mergeCell ref="A28:B28"/>
    <mergeCell ref="A26:B26"/>
    <mergeCell ref="A27:B27"/>
    <mergeCell ref="A22:B22"/>
    <mergeCell ref="A24:B24"/>
    <mergeCell ref="A25:B25"/>
    <mergeCell ref="C20:C21"/>
    <mergeCell ref="D20:D21"/>
    <mergeCell ref="E20:E21"/>
    <mergeCell ref="F20:O20"/>
    <mergeCell ref="A2:O2"/>
    <mergeCell ref="A19:O19"/>
    <mergeCell ref="A3:A4"/>
    <mergeCell ref="B3:B4"/>
    <mergeCell ref="C3:C4"/>
    <mergeCell ref="D3:D4"/>
    <mergeCell ref="E3:E4"/>
    <mergeCell ref="F3:O3"/>
    <mergeCell ref="A20:B21"/>
    <mergeCell ref="A7:A11"/>
    <mergeCell ref="A12:A14"/>
  </mergeCells>
  <conditionalFormatting sqref="F4:O4">
    <cfRule type="containsErrors" dxfId="1" priority="3">
      <formula>ISERROR(F4)</formula>
    </cfRule>
  </conditionalFormatting>
  <conditionalFormatting sqref="F21:O21">
    <cfRule type="containsErrors" dxfId="0" priority="2">
      <formula>ISERROR(F21)</formula>
    </cfRule>
  </conditionalFormatting>
  <pageMargins left="0.7" right="0.7" top="0.75" bottom="0.75" header="0.3" footer="0.3"/>
  <pageSetup paperSize="3" scale="66" orientation="landscape" r:id="rId1"/>
  <rowBreaks count="1" manualBreakCount="1">
    <brk id="29" max="16383" man="1"/>
  </rowBreaks>
  <colBreaks count="1" manualBreakCount="1">
    <brk id="1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U855"/>
  <sheetViews>
    <sheetView zoomScale="98" zoomScaleNormal="98" workbookViewId="0"/>
  </sheetViews>
  <sheetFormatPr defaultColWidth="9.109375" defaultRowHeight="14.4" x14ac:dyDescent="0.3"/>
  <cols>
    <col min="1" max="1" width="11.6640625" style="90" customWidth="1"/>
    <col min="2" max="2" width="13.33203125" style="90" customWidth="1"/>
    <col min="3" max="9" width="11.6640625" style="90" customWidth="1"/>
    <col min="10" max="10" width="13" style="90" customWidth="1"/>
    <col min="11" max="17" width="11.6640625" style="90" customWidth="1"/>
    <col min="18" max="18" width="13.109375" style="90" customWidth="1"/>
    <col min="19" max="19" width="16.44140625" style="90" customWidth="1"/>
    <col min="20" max="25" width="11.6640625" style="90" customWidth="1"/>
    <col min="26" max="26" width="14.88671875" style="90" customWidth="1"/>
    <col min="27" max="29" width="11.6640625" style="90" customWidth="1"/>
    <col min="30" max="30" width="17.33203125" style="90" bestFit="1" customWidth="1"/>
    <col min="31" max="33" width="11.6640625" style="90" customWidth="1"/>
    <col min="34" max="34" width="7" style="90" customWidth="1"/>
    <col min="35" max="49" width="11.6640625" style="90" customWidth="1"/>
    <col min="50" max="16384" width="9.109375" style="90"/>
  </cols>
  <sheetData>
    <row r="1" spans="1:47" x14ac:dyDescent="0.3">
      <c r="A1" s="90" t="s">
        <v>111</v>
      </c>
    </row>
    <row r="2" spans="1:47" s="347" customFormat="1" x14ac:dyDescent="0.3">
      <c r="A2" s="346" t="s">
        <v>349</v>
      </c>
    </row>
    <row r="3" spans="1:47" x14ac:dyDescent="0.3">
      <c r="A3" s="90" t="s">
        <v>112</v>
      </c>
    </row>
    <row r="5" spans="1:47" ht="15" customHeight="1" x14ac:dyDescent="0.3">
      <c r="B5" s="630" t="s">
        <v>269</v>
      </c>
      <c r="C5" s="630"/>
      <c r="D5" s="630"/>
      <c r="E5" s="630"/>
      <c r="F5" s="630"/>
      <c r="G5" s="630"/>
      <c r="H5" s="630"/>
      <c r="J5" s="630" t="s">
        <v>270</v>
      </c>
      <c r="K5" s="630"/>
      <c r="L5" s="630"/>
      <c r="M5" s="630"/>
      <c r="N5" s="630"/>
      <c r="O5" s="630"/>
      <c r="P5" s="630"/>
      <c r="R5" s="630" t="s">
        <v>71</v>
      </c>
      <c r="S5" s="630"/>
      <c r="T5" s="630"/>
      <c r="U5" s="630"/>
      <c r="V5" s="630"/>
      <c r="W5" s="630"/>
      <c r="X5" s="630"/>
      <c r="Z5" s="630" t="s">
        <v>72</v>
      </c>
      <c r="AA5" s="630"/>
      <c r="AB5" s="630"/>
      <c r="AC5" s="630"/>
      <c r="AD5" s="630"/>
      <c r="AE5" s="630"/>
      <c r="AF5" s="630"/>
      <c r="AG5" s="630"/>
      <c r="AH5" s="91"/>
      <c r="AI5" s="630" t="s">
        <v>73</v>
      </c>
      <c r="AJ5" s="630"/>
      <c r="AK5" s="630"/>
      <c r="AL5" s="630"/>
      <c r="AM5" s="630"/>
      <c r="AN5" s="630"/>
      <c r="AO5" s="630"/>
    </row>
    <row r="6" spans="1:47" ht="15" customHeight="1" x14ac:dyDescent="0.3">
      <c r="A6" s="92"/>
      <c r="B6" s="630"/>
      <c r="C6" s="630"/>
      <c r="D6" s="630"/>
      <c r="E6" s="630"/>
      <c r="F6" s="630"/>
      <c r="G6" s="630"/>
      <c r="H6" s="630"/>
      <c r="J6" s="630"/>
      <c r="K6" s="630"/>
      <c r="L6" s="630"/>
      <c r="M6" s="630"/>
      <c r="N6" s="630"/>
      <c r="O6" s="630"/>
      <c r="P6" s="630"/>
      <c r="R6" s="630"/>
      <c r="S6" s="630"/>
      <c r="T6" s="630"/>
      <c r="U6" s="630"/>
      <c r="V6" s="630"/>
      <c r="W6" s="630"/>
      <c r="X6" s="630"/>
      <c r="Z6" s="630"/>
      <c r="AA6" s="630"/>
      <c r="AB6" s="630"/>
      <c r="AC6" s="630"/>
      <c r="AD6" s="630"/>
      <c r="AE6" s="630"/>
      <c r="AF6" s="630"/>
      <c r="AG6" s="630"/>
      <c r="AH6" s="91"/>
      <c r="AI6" s="630"/>
      <c r="AJ6" s="630"/>
      <c r="AK6" s="630"/>
      <c r="AL6" s="630"/>
      <c r="AM6" s="630"/>
      <c r="AN6" s="630"/>
      <c r="AO6" s="630"/>
    </row>
    <row r="7" spans="1:47" x14ac:dyDescent="0.3">
      <c r="B7" s="92"/>
      <c r="C7" s="92"/>
      <c r="D7" s="92"/>
      <c r="E7" s="92"/>
      <c r="F7" s="92"/>
      <c r="G7" s="92"/>
      <c r="H7" s="92"/>
      <c r="I7" s="91"/>
      <c r="J7" s="91"/>
      <c r="K7" s="91"/>
      <c r="L7" s="91"/>
      <c r="M7" s="91"/>
      <c r="N7" s="91"/>
      <c r="O7" s="91"/>
      <c r="P7" s="91"/>
      <c r="Q7" s="91"/>
      <c r="R7" s="91"/>
      <c r="S7" s="91"/>
      <c r="T7" s="91"/>
    </row>
    <row r="8" spans="1:47" ht="15" thickBot="1" x14ac:dyDescent="0.35">
      <c r="B8" t="s">
        <v>169</v>
      </c>
      <c r="J8" s="90" t="s">
        <v>0</v>
      </c>
      <c r="R8" s="90" t="s">
        <v>19</v>
      </c>
      <c r="Z8" t="s">
        <v>273</v>
      </c>
      <c r="AI8" t="s">
        <v>204</v>
      </c>
    </row>
    <row r="9" spans="1:47" x14ac:dyDescent="0.3">
      <c r="B9" s="135" t="s">
        <v>12</v>
      </c>
      <c r="C9" s="94">
        <v>80</v>
      </c>
      <c r="D9" s="94"/>
      <c r="E9" s="94"/>
      <c r="F9" s="94"/>
      <c r="G9" s="94">
        <v>68</v>
      </c>
      <c r="H9" s="95">
        <v>40</v>
      </c>
      <c r="J9" s="93" t="s">
        <v>12</v>
      </c>
      <c r="K9" s="97"/>
      <c r="L9" s="97"/>
      <c r="M9" s="97">
        <v>1.5</v>
      </c>
      <c r="N9" s="94"/>
      <c r="O9" s="97">
        <v>1.2</v>
      </c>
      <c r="P9" s="98">
        <v>1</v>
      </c>
      <c r="R9" s="93" t="s">
        <v>12</v>
      </c>
      <c r="S9" s="97">
        <v>0</v>
      </c>
      <c r="T9" s="97"/>
      <c r="U9" s="97"/>
      <c r="V9" s="97"/>
      <c r="W9" s="97">
        <v>430</v>
      </c>
      <c r="X9" s="98">
        <v>660</v>
      </c>
      <c r="Z9" s="275" t="s">
        <v>12</v>
      </c>
      <c r="AA9" s="94">
        <v>25</v>
      </c>
      <c r="AB9" s="136"/>
      <c r="AC9" s="94">
        <v>18</v>
      </c>
      <c r="AD9" s="94"/>
      <c r="AE9" s="94">
        <v>12</v>
      </c>
      <c r="AF9" s="95">
        <v>10</v>
      </c>
      <c r="AI9" s="115" t="s">
        <v>205</v>
      </c>
      <c r="AJ9" s="140">
        <v>38.200000000000003</v>
      </c>
      <c r="AK9" s="141"/>
      <c r="AL9" s="141">
        <v>49</v>
      </c>
      <c r="AM9" s="141"/>
      <c r="AN9" s="140">
        <v>59.8</v>
      </c>
      <c r="AO9" s="142">
        <v>77</v>
      </c>
    </row>
    <row r="10" spans="1:47" ht="15" thickBot="1" x14ac:dyDescent="0.35">
      <c r="B10" s="99" t="s">
        <v>13</v>
      </c>
      <c r="C10" s="100">
        <v>0</v>
      </c>
      <c r="D10" s="100">
        <v>0.28999999999999998</v>
      </c>
      <c r="E10" s="101">
        <v>0.3</v>
      </c>
      <c r="F10" s="101">
        <v>0.69</v>
      </c>
      <c r="G10" s="103">
        <v>0.7</v>
      </c>
      <c r="H10" s="104">
        <v>1</v>
      </c>
      <c r="J10" s="99" t="s">
        <v>13</v>
      </c>
      <c r="K10" s="100">
        <v>0</v>
      </c>
      <c r="L10" s="100">
        <v>0.2</v>
      </c>
      <c r="M10" s="101">
        <v>0.3</v>
      </c>
      <c r="N10" s="102">
        <v>0.69</v>
      </c>
      <c r="O10" s="103">
        <v>0.7</v>
      </c>
      <c r="P10" s="104">
        <v>1</v>
      </c>
      <c r="R10" s="99" t="s">
        <v>13</v>
      </c>
      <c r="S10" s="100">
        <v>0</v>
      </c>
      <c r="T10" s="100">
        <v>0.28999999999999998</v>
      </c>
      <c r="U10" s="101">
        <v>0.3</v>
      </c>
      <c r="V10" s="101">
        <v>0.69</v>
      </c>
      <c r="W10" s="103">
        <v>0.7</v>
      </c>
      <c r="X10" s="104">
        <v>1</v>
      </c>
      <c r="Z10" s="99" t="s">
        <v>4</v>
      </c>
      <c r="AA10" s="100">
        <v>0</v>
      </c>
      <c r="AB10" s="100">
        <v>0.28999999999999998</v>
      </c>
      <c r="AC10" s="101">
        <v>0.3</v>
      </c>
      <c r="AD10" s="101">
        <v>0.69</v>
      </c>
      <c r="AE10" s="103">
        <v>0.7</v>
      </c>
      <c r="AF10" s="104">
        <v>1</v>
      </c>
      <c r="AI10" s="96" t="s">
        <v>206</v>
      </c>
      <c r="AJ10" s="138">
        <v>40.4</v>
      </c>
      <c r="AK10" s="139"/>
      <c r="AL10" s="139">
        <v>53</v>
      </c>
      <c r="AM10" s="139"/>
      <c r="AN10" s="138">
        <v>65.599999999999994</v>
      </c>
      <c r="AO10" s="143">
        <v>82</v>
      </c>
    </row>
    <row r="11" spans="1:47" ht="15" customHeight="1" x14ac:dyDescent="0.3">
      <c r="C11"/>
      <c r="R11" s="91"/>
      <c r="S11" s="91"/>
      <c r="T11" s="91"/>
      <c r="U11" s="91"/>
      <c r="V11" s="91"/>
      <c r="W11" s="91"/>
      <c r="X11" s="91"/>
      <c r="AI11" s="96" t="s">
        <v>207</v>
      </c>
      <c r="AJ11" s="138">
        <v>37</v>
      </c>
      <c r="AK11" s="139"/>
      <c r="AL11" s="139">
        <v>51</v>
      </c>
      <c r="AM11" s="139"/>
      <c r="AN11" s="138">
        <v>64.599999999999994</v>
      </c>
      <c r="AO11" s="143">
        <v>76</v>
      </c>
    </row>
    <row r="12" spans="1:47" ht="15" customHeight="1" x14ac:dyDescent="0.3">
      <c r="C12" s="31" t="s">
        <v>191</v>
      </c>
      <c r="D12" s="31" t="s">
        <v>76</v>
      </c>
      <c r="J12" t="s">
        <v>190</v>
      </c>
      <c r="S12" s="334" t="s">
        <v>191</v>
      </c>
      <c r="T12" s="335" t="s">
        <v>76</v>
      </c>
      <c r="Z12"/>
      <c r="AA12" t="s">
        <v>101</v>
      </c>
      <c r="AB12" t="s">
        <v>144</v>
      </c>
      <c r="AC12" t="s">
        <v>76</v>
      </c>
      <c r="AI12" s="21" t="s">
        <v>208</v>
      </c>
      <c r="AJ12" s="138">
        <v>19.600000000000001</v>
      </c>
      <c r="AK12" s="139"/>
      <c r="AL12" s="139">
        <v>32</v>
      </c>
      <c r="AM12" s="139"/>
      <c r="AN12" s="138">
        <v>44.4</v>
      </c>
      <c r="AO12" s="143">
        <v>52</v>
      </c>
    </row>
    <row r="13" spans="1:47" ht="15.75" customHeight="1" thickBot="1" x14ac:dyDescent="0.35">
      <c r="B13" t="s">
        <v>190</v>
      </c>
      <c r="C13" s="107"/>
      <c r="E13" s="107"/>
      <c r="F13" s="380"/>
      <c r="J13" s="31" t="s">
        <v>99</v>
      </c>
      <c r="K13" s="90">
        <v>-1.3947000000000001</v>
      </c>
      <c r="O13" s="106"/>
      <c r="R13" t="s">
        <v>190</v>
      </c>
      <c r="Z13" s="90" t="s">
        <v>159</v>
      </c>
      <c r="AI13" s="99" t="s">
        <v>4</v>
      </c>
      <c r="AJ13" s="100">
        <v>0</v>
      </c>
      <c r="AK13" s="100">
        <v>0.28999999999999998</v>
      </c>
      <c r="AL13" s="101">
        <v>0.3</v>
      </c>
      <c r="AM13" s="101">
        <v>0.69</v>
      </c>
      <c r="AN13" s="103">
        <v>0.7</v>
      </c>
      <c r="AO13" s="104">
        <v>1</v>
      </c>
    </row>
    <row r="14" spans="1:47" x14ac:dyDescent="0.3">
      <c r="B14" s="31" t="s">
        <v>99</v>
      </c>
      <c r="C14" s="379">
        <v>-5.8333000000000003E-2</v>
      </c>
      <c r="D14" s="90">
        <v>-1.0699999999999999E-2</v>
      </c>
      <c r="E14" s="107"/>
      <c r="J14" s="31" t="s">
        <v>100</v>
      </c>
      <c r="K14" s="108">
        <v>2.3868</v>
      </c>
      <c r="M14" s="108"/>
      <c r="R14" s="31" t="s">
        <v>99</v>
      </c>
      <c r="S14" s="90">
        <f>1.6*10^-3</f>
        <v>1.6000000000000001E-3</v>
      </c>
      <c r="T14" s="90">
        <v>1.2999999999999999E-3</v>
      </c>
      <c r="Z14" s="105" t="s">
        <v>99</v>
      </c>
      <c r="AA14" s="111">
        <v>-4.2900000000000001E-2</v>
      </c>
      <c r="AB14" s="276">
        <v>-6.6667000000000004E-2</v>
      </c>
      <c r="AC14" s="106">
        <v>-0.15</v>
      </c>
      <c r="AE14" s="111"/>
    </row>
    <row r="15" spans="1:47" x14ac:dyDescent="0.3">
      <c r="B15" s="31" t="s">
        <v>100</v>
      </c>
      <c r="C15" s="107">
        <v>4.6666999999999996</v>
      </c>
      <c r="D15">
        <v>1.4286000000000001</v>
      </c>
      <c r="L15" s="108"/>
      <c r="R15" s="31" t="s">
        <v>100</v>
      </c>
      <c r="S15" s="111">
        <v>0</v>
      </c>
      <c r="T15" s="338">
        <v>0.1391</v>
      </c>
      <c r="Z15" s="105" t="s">
        <v>100</v>
      </c>
      <c r="AA15" s="111">
        <v>1.0713999999999999</v>
      </c>
      <c r="AB15" s="276">
        <v>1.5</v>
      </c>
      <c r="AC15" s="106">
        <v>2.5</v>
      </c>
      <c r="AE15" s="111"/>
      <c r="AJ15" s="623" t="s">
        <v>205</v>
      </c>
      <c r="AK15" s="623"/>
      <c r="AL15" s="623"/>
      <c r="AM15" s="623" t="s">
        <v>206</v>
      </c>
      <c r="AN15" s="623"/>
      <c r="AO15" s="623"/>
      <c r="AP15" s="623" t="s">
        <v>207</v>
      </c>
      <c r="AQ15" s="623"/>
      <c r="AR15" s="623"/>
      <c r="AS15" s="623" t="s">
        <v>208</v>
      </c>
      <c r="AT15" s="623"/>
      <c r="AU15" s="623"/>
    </row>
    <row r="16" spans="1:47" x14ac:dyDescent="0.3">
      <c r="B16" s="105"/>
      <c r="AI16" s="105"/>
      <c r="AJ16" t="s">
        <v>101</v>
      </c>
      <c r="AK16" t="s">
        <v>144</v>
      </c>
      <c r="AL16" t="s">
        <v>76</v>
      </c>
      <c r="AM16" t="s">
        <v>101</v>
      </c>
      <c r="AN16" t="s">
        <v>144</v>
      </c>
      <c r="AO16" t="s">
        <v>76</v>
      </c>
      <c r="AP16" t="s">
        <v>101</v>
      </c>
      <c r="AQ16" t="s">
        <v>144</v>
      </c>
      <c r="AR16" t="s">
        <v>76</v>
      </c>
      <c r="AS16" t="s">
        <v>101</v>
      </c>
      <c r="AT16" t="s">
        <v>144</v>
      </c>
      <c r="AU16" t="s">
        <v>76</v>
      </c>
    </row>
    <row r="17" spans="25:47" x14ac:dyDescent="0.3">
      <c r="AI17" s="90" t="s">
        <v>159</v>
      </c>
      <c r="AJ17"/>
      <c r="AK17"/>
      <c r="AL17"/>
      <c r="AM17"/>
      <c r="AN17"/>
      <c r="AO17"/>
      <c r="AP17"/>
      <c r="AQ17"/>
      <c r="AR17"/>
      <c r="AS17"/>
      <c r="AT17"/>
      <c r="AU17"/>
    </row>
    <row r="18" spans="25:47" x14ac:dyDescent="0.3">
      <c r="AI18" s="105" t="s">
        <v>99</v>
      </c>
      <c r="AJ18" s="382">
        <v>2.7779999999999999E-2</v>
      </c>
      <c r="AK18" s="384">
        <v>3.703704E-2</v>
      </c>
      <c r="AL18" s="384">
        <v>1.7440000000000001E-2</v>
      </c>
      <c r="AM18" s="383">
        <f xml:space="preserve"> 0.02380952</f>
        <v>2.3809520000000001E-2</v>
      </c>
      <c r="AN18" s="383">
        <v>3.1746031700000003E-2</v>
      </c>
      <c r="AO18" s="383">
        <v>1.8292682899999999E-2</v>
      </c>
      <c r="AP18" s="383">
        <v>2.1430000000000001E-2</v>
      </c>
      <c r="AQ18" s="383">
        <v>2.9409999999999999E-2</v>
      </c>
      <c r="AR18" s="383">
        <v>2.6315789499999999E-2</v>
      </c>
      <c r="AS18" s="383">
        <v>2.419E-2</v>
      </c>
      <c r="AT18" s="383">
        <v>3.2259999999999997E-2</v>
      </c>
      <c r="AU18" s="383">
        <v>3.9469999999999998E-2</v>
      </c>
    </row>
    <row r="19" spans="25:47" x14ac:dyDescent="0.3">
      <c r="AI19" s="105" t="s">
        <v>100</v>
      </c>
      <c r="AJ19" s="382">
        <v>-1.06111</v>
      </c>
      <c r="AK19" s="383">
        <v>-1.5148148100000001</v>
      </c>
      <c r="AL19" s="384">
        <v>-0.34301999999999999</v>
      </c>
      <c r="AM19" s="383">
        <v>-0.96190476000000003</v>
      </c>
      <c r="AN19" s="383">
        <v>-1.3825396825</v>
      </c>
      <c r="AO19" s="383">
        <v>-0.5</v>
      </c>
      <c r="AP19" s="383">
        <v>-0.79286000000000001</v>
      </c>
      <c r="AQ19" s="383">
        <v>-1.2</v>
      </c>
      <c r="AR19" s="383">
        <v>-1</v>
      </c>
      <c r="AS19" s="383">
        <v>-0.47419</v>
      </c>
      <c r="AT19" s="383">
        <v>-0.73226000000000002</v>
      </c>
      <c r="AU19" s="383">
        <v>-1.05263</v>
      </c>
    </row>
    <row r="20" spans="25:47" x14ac:dyDescent="0.3">
      <c r="AI20" s="105"/>
    </row>
    <row r="21" spans="25:47" x14ac:dyDescent="0.3">
      <c r="Y21" s="111"/>
      <c r="AI21" s="105"/>
      <c r="AK21" s="108"/>
      <c r="AL21" s="108"/>
    </row>
    <row r="22" spans="25:47" x14ac:dyDescent="0.3">
      <c r="AK22" s="108"/>
    </row>
    <row r="23" spans="25:47" x14ac:dyDescent="0.3">
      <c r="AK23" s="108"/>
    </row>
    <row r="39" spans="2:32" ht="15" thickBot="1" x14ac:dyDescent="0.35">
      <c r="B39" t="s">
        <v>271</v>
      </c>
    </row>
    <row r="40" spans="2:32" x14ac:dyDescent="0.3">
      <c r="B40" s="135" t="s">
        <v>12</v>
      </c>
      <c r="C40" s="94">
        <v>0.95</v>
      </c>
      <c r="D40" s="94"/>
      <c r="E40" s="94">
        <v>0.25</v>
      </c>
      <c r="F40" s="94"/>
      <c r="G40" s="94">
        <v>0.05</v>
      </c>
      <c r="H40" s="95">
        <v>0.02</v>
      </c>
    </row>
    <row r="41" spans="2:32" ht="15" thickBot="1" x14ac:dyDescent="0.35">
      <c r="B41" s="99" t="s">
        <v>13</v>
      </c>
      <c r="C41" s="100">
        <v>0</v>
      </c>
      <c r="D41" s="100">
        <v>0.28999999999999998</v>
      </c>
      <c r="E41" s="101">
        <v>0.3</v>
      </c>
      <c r="F41" s="101">
        <v>0.69</v>
      </c>
      <c r="G41" s="103">
        <v>0.7</v>
      </c>
      <c r="H41" s="104">
        <v>1</v>
      </c>
      <c r="J41" s="254" t="s">
        <v>369</v>
      </c>
      <c r="R41" t="s">
        <v>197</v>
      </c>
    </row>
    <row r="42" spans="2:32" ht="15" thickBot="1" x14ac:dyDescent="0.35">
      <c r="C42"/>
      <c r="J42" s="93" t="s">
        <v>12</v>
      </c>
      <c r="K42" s="97"/>
      <c r="L42" s="97"/>
      <c r="M42" s="97">
        <v>2</v>
      </c>
      <c r="N42" s="97"/>
      <c r="O42" s="97">
        <v>2.4</v>
      </c>
      <c r="P42" s="98">
        <v>5</v>
      </c>
      <c r="R42" s="112" t="s">
        <v>12</v>
      </c>
      <c r="S42" s="97">
        <v>0</v>
      </c>
      <c r="T42" s="97"/>
      <c r="U42" s="97"/>
      <c r="V42" s="97"/>
      <c r="W42" s="97">
        <v>13</v>
      </c>
      <c r="X42" s="98">
        <v>28</v>
      </c>
      <c r="Z42" t="s">
        <v>304</v>
      </c>
    </row>
    <row r="43" spans="2:32" ht="15" thickBot="1" x14ac:dyDescent="0.35">
      <c r="C43" s="257" t="s">
        <v>101</v>
      </c>
      <c r="D43" s="257" t="s">
        <v>144</v>
      </c>
      <c r="E43" s="264" t="s">
        <v>76</v>
      </c>
      <c r="J43" s="99" t="s">
        <v>13</v>
      </c>
      <c r="K43" s="100">
        <v>0</v>
      </c>
      <c r="L43" s="100">
        <v>0.28999999999999998</v>
      </c>
      <c r="M43" s="101">
        <v>0.3</v>
      </c>
      <c r="N43" s="101">
        <v>0.69</v>
      </c>
      <c r="O43" s="103">
        <v>0.7</v>
      </c>
      <c r="P43" s="104">
        <v>1</v>
      </c>
      <c r="R43" s="99" t="s">
        <v>13</v>
      </c>
      <c r="S43" s="100">
        <v>0</v>
      </c>
      <c r="T43" s="100">
        <v>0.28999999999999998</v>
      </c>
      <c r="U43" s="101">
        <v>0.3</v>
      </c>
      <c r="V43" s="101">
        <v>0.69</v>
      </c>
      <c r="W43" s="103">
        <v>0.7</v>
      </c>
      <c r="X43" s="104">
        <v>1</v>
      </c>
      <c r="Z43" s="277" t="s">
        <v>275</v>
      </c>
      <c r="AA43" s="293">
        <v>5.25</v>
      </c>
      <c r="AB43" s="294"/>
      <c r="AC43" s="295">
        <v>6.3</v>
      </c>
      <c r="AD43" s="295"/>
      <c r="AE43" s="295">
        <v>7.7</v>
      </c>
      <c r="AF43" s="296">
        <v>8.75</v>
      </c>
    </row>
    <row r="44" spans="2:32" x14ac:dyDescent="0.3">
      <c r="B44" t="s">
        <v>190</v>
      </c>
      <c r="C44" s="107"/>
      <c r="E44" s="107"/>
      <c r="F44" s="380"/>
      <c r="Z44" s="278" t="s">
        <v>282</v>
      </c>
      <c r="AA44" s="297">
        <v>3.75</v>
      </c>
      <c r="AB44" s="298"/>
      <c r="AC44" s="299">
        <v>4.5</v>
      </c>
      <c r="AD44" s="299"/>
      <c r="AE44" s="299">
        <v>5.5</v>
      </c>
      <c r="AF44" s="300">
        <v>6.25</v>
      </c>
    </row>
    <row r="45" spans="2:32" x14ac:dyDescent="0.3">
      <c r="B45" s="257" t="s">
        <v>99</v>
      </c>
      <c r="C45">
        <v>-0.42857099999999998</v>
      </c>
      <c r="D45">
        <v>-2</v>
      </c>
      <c r="E45" s="107">
        <v>-10</v>
      </c>
      <c r="K45" s="105" t="s">
        <v>76</v>
      </c>
      <c r="L45" s="31" t="s">
        <v>144</v>
      </c>
      <c r="S45" s="360" t="s">
        <v>191</v>
      </c>
      <c r="T45" s="361" t="s">
        <v>76</v>
      </c>
      <c r="Z45" s="278">
        <v>7</v>
      </c>
      <c r="AA45" s="297">
        <v>0.75</v>
      </c>
      <c r="AB45" s="298"/>
      <c r="AC45" s="299">
        <v>0.9</v>
      </c>
      <c r="AD45" s="299"/>
      <c r="AE45" s="299">
        <v>1.1000000000000001</v>
      </c>
      <c r="AF45" s="300">
        <v>1.25</v>
      </c>
    </row>
    <row r="46" spans="2:32" ht="15" thickBot="1" x14ac:dyDescent="0.35">
      <c r="B46" s="257" t="s">
        <v>100</v>
      </c>
      <c r="C46">
        <v>0.40714299999999998</v>
      </c>
      <c r="D46">
        <v>0.8</v>
      </c>
      <c r="E46" s="90">
        <v>1.2</v>
      </c>
      <c r="J46" s="90" t="s">
        <v>159</v>
      </c>
      <c r="N46" s="380"/>
      <c r="R46" s="90" t="s">
        <v>159</v>
      </c>
      <c r="S46" s="113"/>
      <c r="T46" s="113"/>
      <c r="Z46" s="99" t="s">
        <v>4</v>
      </c>
      <c r="AA46" s="100">
        <v>0</v>
      </c>
      <c r="AB46" s="100">
        <v>0.28999999999999998</v>
      </c>
      <c r="AC46" s="101">
        <v>0.3</v>
      </c>
      <c r="AD46" s="101">
        <v>0.69</v>
      </c>
      <c r="AE46" s="103">
        <v>0.7</v>
      </c>
      <c r="AF46" s="104">
        <v>1</v>
      </c>
    </row>
    <row r="47" spans="2:32" x14ac:dyDescent="0.3">
      <c r="B47" s="258"/>
      <c r="J47" s="105" t="s">
        <v>99</v>
      </c>
      <c r="K47" s="90">
        <v>0.1154</v>
      </c>
      <c r="L47" s="90">
        <v>1</v>
      </c>
      <c r="N47" s="380"/>
      <c r="R47" s="31" t="s">
        <v>99</v>
      </c>
      <c r="S47" s="114">
        <v>5.3800000000000001E-2</v>
      </c>
      <c r="T47" s="114">
        <v>0.02</v>
      </c>
    </row>
    <row r="48" spans="2:32" ht="15" customHeight="1" x14ac:dyDescent="0.3">
      <c r="J48" s="105" t="s">
        <v>100</v>
      </c>
      <c r="K48" s="90">
        <v>0.42309999999999998</v>
      </c>
      <c r="L48" s="90">
        <v>-1.7</v>
      </c>
      <c r="R48" s="31" t="s">
        <v>100</v>
      </c>
      <c r="S48" s="114">
        <v>0</v>
      </c>
      <c r="T48" s="114">
        <v>0.44</v>
      </c>
      <c r="Z48"/>
      <c r="AA48" s="267" t="str">
        <f>Z43</f>
        <v>2A</v>
      </c>
      <c r="AB48" s="267" t="str">
        <f>Z44</f>
        <v>2B/2Bd/2C</v>
      </c>
      <c r="AC48" s="267">
        <f>Z45</f>
        <v>7</v>
      </c>
    </row>
    <row r="49" spans="10:47" x14ac:dyDescent="0.3">
      <c r="J49" s="105"/>
      <c r="L49" s="108"/>
      <c r="Z49" s="90" t="s">
        <v>159</v>
      </c>
      <c r="AE49" s="380"/>
    </row>
    <row r="50" spans="10:47" x14ac:dyDescent="0.3">
      <c r="Z50" s="268" t="s">
        <v>99</v>
      </c>
      <c r="AA50" s="307">
        <v>0.28570000000000001</v>
      </c>
      <c r="AB50" s="111">
        <v>0.4</v>
      </c>
      <c r="AC50" s="111">
        <v>2</v>
      </c>
      <c r="AE50" s="111"/>
    </row>
    <row r="51" spans="10:47" x14ac:dyDescent="0.3">
      <c r="Z51" s="268" t="s">
        <v>100</v>
      </c>
      <c r="AA51" s="111">
        <v>-1.5</v>
      </c>
      <c r="AB51" s="111">
        <v>-1.5</v>
      </c>
      <c r="AC51" s="111">
        <v>-1.5</v>
      </c>
      <c r="AE51" s="111"/>
    </row>
    <row r="56" spans="10:47" ht="15" thickBot="1" x14ac:dyDescent="0.35">
      <c r="AI56" t="s">
        <v>209</v>
      </c>
    </row>
    <row r="57" spans="10:47" x14ac:dyDescent="0.3">
      <c r="AI57" s="115" t="s">
        <v>210</v>
      </c>
      <c r="AJ57" s="140">
        <v>24</v>
      </c>
      <c r="AK57" s="141"/>
      <c r="AL57" s="141">
        <v>37</v>
      </c>
      <c r="AM57" s="141"/>
      <c r="AN57" s="140">
        <v>49.6</v>
      </c>
      <c r="AO57" s="142">
        <v>62</v>
      </c>
    </row>
    <row r="58" spans="10:47" x14ac:dyDescent="0.3">
      <c r="AI58" s="96" t="s">
        <v>211</v>
      </c>
      <c r="AJ58" s="31">
        <v>29.4</v>
      </c>
      <c r="AK58" s="139"/>
      <c r="AL58" s="139">
        <v>43</v>
      </c>
      <c r="AM58" s="139"/>
      <c r="AN58" s="138">
        <v>56.6</v>
      </c>
      <c r="AO58" s="143">
        <v>65</v>
      </c>
    </row>
    <row r="59" spans="10:47" x14ac:dyDescent="0.3">
      <c r="AI59" s="96" t="s">
        <v>212</v>
      </c>
      <c r="AJ59" s="31">
        <v>29.2</v>
      </c>
      <c r="AK59" s="139"/>
      <c r="AL59" s="139">
        <v>43</v>
      </c>
      <c r="AM59" s="139"/>
      <c r="AN59" s="138">
        <v>56.8</v>
      </c>
      <c r="AO59" s="143">
        <v>72</v>
      </c>
    </row>
    <row r="60" spans="10:47" ht="15" thickBot="1" x14ac:dyDescent="0.35">
      <c r="AI60" s="99" t="s">
        <v>4</v>
      </c>
      <c r="AJ60" s="100">
        <v>0</v>
      </c>
      <c r="AK60" s="100">
        <v>0.28999999999999998</v>
      </c>
      <c r="AL60" s="101">
        <v>0.3</v>
      </c>
      <c r="AM60" s="101">
        <v>0.69</v>
      </c>
      <c r="AN60" s="103">
        <v>0.7</v>
      </c>
      <c r="AO60" s="104">
        <v>1</v>
      </c>
    </row>
    <row r="62" spans="10:47" x14ac:dyDescent="0.3">
      <c r="AJ62" s="631" t="s">
        <v>210</v>
      </c>
      <c r="AK62" s="631"/>
      <c r="AL62" s="631"/>
      <c r="AM62" s="631" t="s">
        <v>211</v>
      </c>
      <c r="AN62" s="631"/>
      <c r="AO62" s="631"/>
      <c r="AP62" s="629" t="s">
        <v>212</v>
      </c>
      <c r="AQ62" s="629"/>
      <c r="AR62" s="629"/>
      <c r="AS62"/>
      <c r="AT62"/>
      <c r="AU62"/>
    </row>
    <row r="63" spans="10:47" x14ac:dyDescent="0.3">
      <c r="AI63" s="105"/>
      <c r="AJ63" s="387" t="s">
        <v>101</v>
      </c>
      <c r="AK63" s="387" t="s">
        <v>144</v>
      </c>
      <c r="AL63" s="387" t="s">
        <v>76</v>
      </c>
      <c r="AM63" s="387" t="s">
        <v>101</v>
      </c>
      <c r="AN63" s="387" t="s">
        <v>144</v>
      </c>
      <c r="AO63" s="387" t="s">
        <v>76</v>
      </c>
      <c r="AP63" s="386" t="s">
        <v>101</v>
      </c>
      <c r="AQ63" s="386" t="s">
        <v>144</v>
      </c>
      <c r="AR63" s="386" t="s">
        <v>76</v>
      </c>
      <c r="AS63"/>
      <c r="AT63"/>
      <c r="AU63"/>
    </row>
    <row r="64" spans="10:47" x14ac:dyDescent="0.3">
      <c r="J64" s="92"/>
      <c r="AI64" s="90" t="s">
        <v>159</v>
      </c>
      <c r="AJ64" s="330"/>
      <c r="AK64" s="330"/>
      <c r="AL64" s="330"/>
      <c r="AM64" s="330"/>
      <c r="AN64" s="330"/>
      <c r="AO64" s="330"/>
      <c r="AQ64"/>
      <c r="AR64"/>
      <c r="AS64"/>
      <c r="AT64"/>
      <c r="AU64"/>
    </row>
    <row r="65" spans="2:47" x14ac:dyDescent="0.3">
      <c r="AI65" s="105" t="s">
        <v>99</v>
      </c>
      <c r="AJ65" s="388">
        <v>2.308E-2</v>
      </c>
      <c r="AK65" s="388">
        <v>3.175E-2</v>
      </c>
      <c r="AL65" s="389">
        <v>2.4199999999999999E-2</v>
      </c>
      <c r="AM65" s="388">
        <v>2.206E-2</v>
      </c>
      <c r="AN65" s="388">
        <v>2.9409999999999999E-2</v>
      </c>
      <c r="AO65" s="389">
        <v>3.5709999999999999E-2</v>
      </c>
      <c r="AP65" s="383">
        <v>2.1739999999999999E-2</v>
      </c>
      <c r="AQ65" s="383">
        <v>2.8989999999999998E-2</v>
      </c>
      <c r="AR65" s="383">
        <v>1.9740000000000001E-2</v>
      </c>
      <c r="AS65" s="201"/>
      <c r="AT65" s="201"/>
      <c r="AU65" s="202"/>
    </row>
    <row r="66" spans="2:47" x14ac:dyDescent="0.3">
      <c r="AI66" s="105" t="s">
        <v>100</v>
      </c>
      <c r="AJ66" s="388">
        <v>-0.55384999999999995</v>
      </c>
      <c r="AK66" s="388">
        <v>-0.87460000000000004</v>
      </c>
      <c r="AL66" s="389">
        <v>-0.5</v>
      </c>
      <c r="AM66" s="388">
        <v>-0.64853000000000005</v>
      </c>
      <c r="AN66" s="388">
        <v>-0.96470999999999996</v>
      </c>
      <c r="AO66" s="389">
        <v>-1.3214300000000001</v>
      </c>
      <c r="AP66" s="383">
        <v>-0.63478000000000001</v>
      </c>
      <c r="AQ66" s="383">
        <v>-0.94638</v>
      </c>
      <c r="AR66" s="383">
        <v>-0.42104999999999998</v>
      </c>
      <c r="AS66" s="201"/>
      <c r="AT66" s="201"/>
      <c r="AU66" s="202"/>
    </row>
    <row r="67" spans="2:47" x14ac:dyDescent="0.3">
      <c r="AI67" s="105"/>
    </row>
    <row r="68" spans="2:47" x14ac:dyDescent="0.3">
      <c r="AI68" s="105"/>
      <c r="AK68" s="108"/>
      <c r="AL68" s="108"/>
    </row>
    <row r="69" spans="2:47" ht="15" thickBot="1" x14ac:dyDescent="0.35">
      <c r="B69" s="380" t="s">
        <v>348</v>
      </c>
      <c r="C69" s="347"/>
      <c r="AK69" s="108"/>
    </row>
    <row r="70" spans="2:47" x14ac:dyDescent="0.3">
      <c r="B70" s="135" t="s">
        <v>12</v>
      </c>
      <c r="C70" s="136"/>
      <c r="D70" s="94"/>
      <c r="E70" s="94"/>
      <c r="F70" s="94">
        <v>1</v>
      </c>
      <c r="G70" s="94"/>
      <c r="H70" s="95">
        <v>0</v>
      </c>
      <c r="AK70" s="108"/>
    </row>
    <row r="71" spans="2:47" ht="15" thickBot="1" x14ac:dyDescent="0.35">
      <c r="B71" s="99" t="s">
        <v>13</v>
      </c>
      <c r="C71" s="100">
        <v>0</v>
      </c>
      <c r="D71" s="100">
        <v>0.28999999999999998</v>
      </c>
      <c r="E71" s="101">
        <v>0.3</v>
      </c>
      <c r="F71" s="101">
        <v>0.69</v>
      </c>
      <c r="G71" s="103">
        <v>0.7</v>
      </c>
      <c r="H71" s="104">
        <v>1</v>
      </c>
    </row>
    <row r="73" spans="2:47" x14ac:dyDescent="0.3">
      <c r="B73" t="s">
        <v>190</v>
      </c>
      <c r="C73" s="107"/>
      <c r="E73" s="107"/>
    </row>
    <row r="74" spans="2:47" x14ac:dyDescent="0.3">
      <c r="B74" s="31" t="s">
        <v>99</v>
      </c>
      <c r="C74" s="109">
        <v>-0.31</v>
      </c>
      <c r="E74" s="107"/>
    </row>
    <row r="75" spans="2:47" ht="15" thickBot="1" x14ac:dyDescent="0.35">
      <c r="B75" s="31" t="s">
        <v>100</v>
      </c>
      <c r="C75" s="107">
        <v>1</v>
      </c>
      <c r="R75" s="90" t="s">
        <v>79</v>
      </c>
    </row>
    <row r="76" spans="2:47" ht="15" thickBot="1" x14ac:dyDescent="0.35">
      <c r="B76" s="105"/>
      <c r="J76" s="254" t="s">
        <v>373</v>
      </c>
      <c r="R76" s="93" t="s">
        <v>12</v>
      </c>
      <c r="S76" s="97">
        <v>75</v>
      </c>
      <c r="T76" s="97"/>
      <c r="U76" s="97"/>
      <c r="V76" s="97"/>
      <c r="W76" s="97">
        <v>10</v>
      </c>
      <c r="X76" s="98">
        <v>5</v>
      </c>
    </row>
    <row r="77" spans="2:47" ht="15" thickBot="1" x14ac:dyDescent="0.35">
      <c r="J77" s="93" t="s">
        <v>12</v>
      </c>
      <c r="K77" s="97"/>
      <c r="L77" s="97"/>
      <c r="M77" s="97">
        <v>1.2</v>
      </c>
      <c r="N77" s="97"/>
      <c r="O77" s="97">
        <v>1.4</v>
      </c>
      <c r="P77" s="98">
        <v>2.2000000000000002</v>
      </c>
      <c r="R77" s="99" t="s">
        <v>13</v>
      </c>
      <c r="S77" s="100">
        <v>0</v>
      </c>
      <c r="T77" s="100">
        <v>0.28999999999999998</v>
      </c>
      <c r="U77" s="101">
        <v>0.3</v>
      </c>
      <c r="V77" s="101">
        <v>0.69</v>
      </c>
      <c r="W77" s="103">
        <v>0.7</v>
      </c>
      <c r="X77" s="104">
        <v>1</v>
      </c>
      <c r="Z77" t="s">
        <v>288</v>
      </c>
    </row>
    <row r="78" spans="2:47" ht="15" thickBot="1" x14ac:dyDescent="0.35">
      <c r="J78" s="99" t="s">
        <v>13</v>
      </c>
      <c r="K78" s="100">
        <v>0</v>
      </c>
      <c r="L78" s="100">
        <v>0.28999999999999998</v>
      </c>
      <c r="M78" s="101">
        <v>0.3</v>
      </c>
      <c r="N78" s="101">
        <v>0.69</v>
      </c>
      <c r="O78" s="103">
        <v>0.7</v>
      </c>
      <c r="P78" s="104">
        <v>1</v>
      </c>
      <c r="Z78" s="291" t="s">
        <v>289</v>
      </c>
      <c r="AA78" s="301">
        <v>12.5</v>
      </c>
      <c r="AB78" s="302"/>
      <c r="AC78" s="302">
        <v>11</v>
      </c>
      <c r="AD78" s="302"/>
      <c r="AE78" s="302">
        <v>9</v>
      </c>
      <c r="AF78" s="303">
        <v>7.5</v>
      </c>
    </row>
    <row r="79" spans="2:47" x14ac:dyDescent="0.3">
      <c r="R79" s="105"/>
      <c r="S79" s="36" t="s">
        <v>191</v>
      </c>
      <c r="T79" s="110" t="s">
        <v>76</v>
      </c>
      <c r="Z79" s="292" t="s">
        <v>290</v>
      </c>
      <c r="AA79" s="304">
        <v>18.8</v>
      </c>
      <c r="AB79" s="305"/>
      <c r="AC79" s="305">
        <v>16.5</v>
      </c>
      <c r="AD79" s="305"/>
      <c r="AE79" s="305">
        <v>13.5</v>
      </c>
      <c r="AF79" s="306">
        <v>11.3</v>
      </c>
    </row>
    <row r="80" spans="2:47" x14ac:dyDescent="0.3">
      <c r="K80" s="381" t="s">
        <v>191</v>
      </c>
      <c r="L80" s="105" t="s">
        <v>76</v>
      </c>
      <c r="R80" t="s">
        <v>172</v>
      </c>
      <c r="V80" s="380"/>
      <c r="Z80" s="292" t="s">
        <v>291</v>
      </c>
      <c r="AA80" s="304">
        <v>37.5</v>
      </c>
      <c r="AB80" s="305"/>
      <c r="AC80" s="305">
        <v>33</v>
      </c>
      <c r="AD80" s="305"/>
      <c r="AE80" s="305">
        <v>27</v>
      </c>
      <c r="AF80" s="306">
        <v>22.5</v>
      </c>
    </row>
    <row r="81" spans="10:32" x14ac:dyDescent="0.3">
      <c r="J81" s="90" t="s">
        <v>159</v>
      </c>
      <c r="K81" s="105"/>
      <c r="L81" s="105"/>
      <c r="N81" s="380"/>
      <c r="R81" s="31" t="s">
        <v>99</v>
      </c>
      <c r="S81" s="347">
        <v>-1.0800000000000001E-2</v>
      </c>
      <c r="T81" s="111">
        <v>-0.06</v>
      </c>
      <c r="Z81" s="292" t="s">
        <v>292</v>
      </c>
      <c r="AA81" s="304">
        <v>81.2</v>
      </c>
      <c r="AB81" s="305"/>
      <c r="AC81" s="305">
        <v>71.5</v>
      </c>
      <c r="AD81" s="305"/>
      <c r="AE81" s="305">
        <v>58.5</v>
      </c>
      <c r="AF81" s="306">
        <v>48.7</v>
      </c>
    </row>
    <row r="82" spans="10:32" ht="15" thickBot="1" x14ac:dyDescent="0.35">
      <c r="J82" s="105" t="s">
        <v>99</v>
      </c>
      <c r="K82" s="90">
        <v>2</v>
      </c>
      <c r="L82" s="90">
        <v>0.375</v>
      </c>
      <c r="N82" s="380"/>
      <c r="R82" s="31" t="s">
        <v>100</v>
      </c>
      <c r="S82" s="347">
        <v>0.80769999999999997</v>
      </c>
      <c r="T82" s="338">
        <v>1.3</v>
      </c>
      <c r="Z82" s="99" t="s">
        <v>4</v>
      </c>
      <c r="AA82" s="100">
        <v>0</v>
      </c>
      <c r="AB82" s="100">
        <v>0.28999999999999998</v>
      </c>
      <c r="AC82" s="101">
        <v>0.3</v>
      </c>
      <c r="AD82" s="101">
        <v>0.69</v>
      </c>
      <c r="AE82" s="103">
        <v>0.7</v>
      </c>
      <c r="AF82" s="104">
        <v>1</v>
      </c>
    </row>
    <row r="83" spans="10:32" x14ac:dyDescent="0.3">
      <c r="J83" s="105" t="s">
        <v>100</v>
      </c>
      <c r="K83" s="90">
        <v>-2.1</v>
      </c>
      <c r="L83" s="90">
        <v>0.17499999999999999</v>
      </c>
    </row>
    <row r="84" spans="10:32" x14ac:dyDescent="0.3">
      <c r="J84" s="105"/>
      <c r="L84" s="108"/>
      <c r="Z84"/>
      <c r="AA84" s="280" t="str">
        <f>Z78</f>
        <v>2A / -</v>
      </c>
      <c r="AB84" s="280" t="str">
        <f>Z79</f>
        <v>2B/2Bd/2C - North</v>
      </c>
      <c r="AC84" s="280" t="str">
        <f>Z80</f>
        <v>2B/2Bd/2C - Central</v>
      </c>
      <c r="AD84" s="90" t="str">
        <f>Z81</f>
        <v>2B/2Bd/2C - South</v>
      </c>
    </row>
    <row r="85" spans="10:32" x14ac:dyDescent="0.3">
      <c r="Z85" s="90" t="s">
        <v>159</v>
      </c>
      <c r="AF85" s="380"/>
    </row>
    <row r="86" spans="10:32" x14ac:dyDescent="0.3">
      <c r="Z86" s="286" t="s">
        <v>99</v>
      </c>
      <c r="AA86" s="111">
        <v>-0.2</v>
      </c>
      <c r="AB86" s="111">
        <v>-0.13332311999999999</v>
      </c>
      <c r="AC86" s="111">
        <v>-6.6666669999999997E-2</v>
      </c>
      <c r="AD86" s="308">
        <v>-3.0769109999999999E-2</v>
      </c>
      <c r="AE86" s="111"/>
      <c r="AF86" s="308"/>
    </row>
    <row r="87" spans="10:32" x14ac:dyDescent="0.3">
      <c r="Z87" s="286" t="s">
        <v>100</v>
      </c>
      <c r="AA87" s="106">
        <v>2.5</v>
      </c>
      <c r="AB87" s="111">
        <v>2.5031798300000001</v>
      </c>
      <c r="AC87" s="279">
        <v>2.5</v>
      </c>
      <c r="AD87" s="107">
        <v>2.4992226099999999</v>
      </c>
      <c r="AE87" s="111"/>
      <c r="AF87" s="107"/>
    </row>
    <row r="95" spans="10:32" x14ac:dyDescent="0.3">
      <c r="N95" s="91"/>
      <c r="O95" s="91"/>
      <c r="P95" s="91"/>
    </row>
    <row r="96" spans="10:32" x14ac:dyDescent="0.3">
      <c r="N96" s="91"/>
      <c r="O96" s="91"/>
      <c r="P96" s="91"/>
    </row>
    <row r="101" spans="14:45" x14ac:dyDescent="0.3">
      <c r="N101" s="91"/>
      <c r="O101" s="91"/>
      <c r="P101" s="91"/>
    </row>
    <row r="102" spans="14:45" ht="15" thickBot="1" x14ac:dyDescent="0.35">
      <c r="N102" s="91"/>
      <c r="O102" s="91"/>
      <c r="P102" s="91"/>
      <c r="AI102" t="s">
        <v>213</v>
      </c>
    </row>
    <row r="103" spans="14:45" x14ac:dyDescent="0.3">
      <c r="AI103" s="115" t="s">
        <v>214</v>
      </c>
      <c r="AJ103" s="140">
        <v>20.2</v>
      </c>
      <c r="AK103" s="141"/>
      <c r="AL103" s="141">
        <v>31</v>
      </c>
      <c r="AM103" s="141"/>
      <c r="AN103" s="140">
        <v>41.8</v>
      </c>
      <c r="AO103" s="142">
        <v>62</v>
      </c>
    </row>
    <row r="104" spans="14:45" x14ac:dyDescent="0.3">
      <c r="AI104" s="96" t="s">
        <v>215</v>
      </c>
      <c r="AJ104" s="31">
        <v>27.4</v>
      </c>
      <c r="AK104" s="139"/>
      <c r="AL104" s="139">
        <v>41</v>
      </c>
      <c r="AM104" s="139"/>
      <c r="AN104" s="138">
        <v>54.6</v>
      </c>
      <c r="AO104" s="143">
        <v>69</v>
      </c>
    </row>
    <row r="105" spans="14:45" ht="15" thickBot="1" x14ac:dyDescent="0.35">
      <c r="AI105" s="99" t="s">
        <v>4</v>
      </c>
      <c r="AJ105" s="100">
        <v>0</v>
      </c>
      <c r="AK105" s="100">
        <v>0.28999999999999998</v>
      </c>
      <c r="AL105" s="101">
        <v>0.3</v>
      </c>
      <c r="AM105" s="101">
        <v>0.69</v>
      </c>
      <c r="AN105" s="103">
        <v>0.7</v>
      </c>
      <c r="AO105" s="104">
        <v>1</v>
      </c>
    </row>
    <row r="107" spans="14:45" ht="15" thickBot="1" x14ac:dyDescent="0.35">
      <c r="R107" t="s">
        <v>193</v>
      </c>
      <c r="AJ107" s="623" t="s">
        <v>214</v>
      </c>
      <c r="AK107" s="623"/>
      <c r="AL107" s="623"/>
      <c r="AM107" s="623" t="s">
        <v>215</v>
      </c>
      <c r="AN107" s="623"/>
      <c r="AO107" s="623"/>
      <c r="AS107"/>
    </row>
    <row r="108" spans="14:45" x14ac:dyDescent="0.3">
      <c r="R108" s="93" t="s">
        <v>12</v>
      </c>
      <c r="S108" s="94">
        <v>50</v>
      </c>
      <c r="T108" s="94"/>
      <c r="U108" s="94"/>
      <c r="V108" s="94"/>
      <c r="W108" s="94"/>
      <c r="X108" s="95">
        <v>0</v>
      </c>
      <c r="AI108" s="105"/>
      <c r="AJ108" t="s">
        <v>101</v>
      </c>
      <c r="AK108" t="s">
        <v>144</v>
      </c>
      <c r="AL108" t="s">
        <v>76</v>
      </c>
      <c r="AM108" t="s">
        <v>101</v>
      </c>
      <c r="AN108" t="s">
        <v>144</v>
      </c>
      <c r="AO108" t="s">
        <v>76</v>
      </c>
      <c r="AP108"/>
      <c r="AQ108"/>
      <c r="AR108"/>
      <c r="AS108"/>
    </row>
    <row r="109" spans="14:45" ht="15" thickBot="1" x14ac:dyDescent="0.35">
      <c r="R109" s="99" t="s">
        <v>13</v>
      </c>
      <c r="S109" s="100">
        <v>0</v>
      </c>
      <c r="T109" s="100">
        <v>0.28999999999999998</v>
      </c>
      <c r="U109" s="101">
        <v>0.3</v>
      </c>
      <c r="V109" s="101">
        <v>0.69</v>
      </c>
      <c r="W109" s="103">
        <v>0.7</v>
      </c>
      <c r="X109" s="104">
        <v>1</v>
      </c>
      <c r="AI109" s="90" t="s">
        <v>159</v>
      </c>
      <c r="AJ109"/>
      <c r="AK109"/>
      <c r="AL109"/>
      <c r="AM109"/>
      <c r="AN109"/>
      <c r="AO109"/>
      <c r="AQ109"/>
      <c r="AR109"/>
      <c r="AS109"/>
    </row>
    <row r="110" spans="14:45" x14ac:dyDescent="0.3">
      <c r="AI110" s="105" t="s">
        <v>99</v>
      </c>
      <c r="AJ110" s="201">
        <v>2.7779999999999999E-2</v>
      </c>
      <c r="AK110" s="201">
        <v>3.7039999999999997E-2</v>
      </c>
      <c r="AL110" s="201">
        <v>1.485E-2</v>
      </c>
      <c r="AM110" s="201">
        <v>2.206E-2</v>
      </c>
      <c r="AN110" s="201">
        <v>2.9409999999999999E-2</v>
      </c>
      <c r="AO110">
        <v>2.0830000000000001E-2</v>
      </c>
      <c r="AP110" s="201"/>
      <c r="AQ110" s="202"/>
      <c r="AR110" s="202"/>
      <c r="AS110" s="201"/>
    </row>
    <row r="111" spans="14:45" x14ac:dyDescent="0.3">
      <c r="R111" t="s">
        <v>172</v>
      </c>
      <c r="S111"/>
      <c r="T111"/>
      <c r="U111"/>
      <c r="AI111" s="105" t="s">
        <v>100</v>
      </c>
      <c r="AJ111" s="201">
        <v>-0.56111</v>
      </c>
      <c r="AK111" s="201">
        <v>-0.84814999999999996</v>
      </c>
      <c r="AL111" s="201">
        <v>7.9210000000000003E-2</v>
      </c>
      <c r="AM111" s="201">
        <v>-0.60441</v>
      </c>
      <c r="AN111" s="201">
        <v>-0.90588000000000002</v>
      </c>
      <c r="AO111" s="201">
        <v>-0.4375</v>
      </c>
      <c r="AP111" s="201"/>
      <c r="AQ111" s="202"/>
      <c r="AR111" s="202"/>
      <c r="AS111" s="201"/>
    </row>
    <row r="112" spans="14:45" x14ac:dyDescent="0.3">
      <c r="R112" s="31" t="s">
        <v>99</v>
      </c>
      <c r="S112" s="123">
        <v>-0.02</v>
      </c>
      <c r="T112"/>
      <c r="AC112" s="108"/>
      <c r="AI112" s="105"/>
    </row>
    <row r="113" spans="18:38" x14ac:dyDescent="0.3">
      <c r="R113" s="31" t="s">
        <v>100</v>
      </c>
      <c r="S113" s="123">
        <v>1</v>
      </c>
      <c r="AB113" s="108"/>
      <c r="AI113" s="105"/>
      <c r="AK113" s="108"/>
      <c r="AL113" s="108"/>
    </row>
    <row r="114" spans="18:38" x14ac:dyDescent="0.3">
      <c r="R114" s="105"/>
      <c r="U114"/>
      <c r="AK114" s="108"/>
    </row>
    <row r="115" spans="18:38" x14ac:dyDescent="0.3">
      <c r="AK115" s="108"/>
    </row>
    <row r="137" spans="18:30" ht="16.5" customHeight="1" x14ac:dyDescent="0.3"/>
    <row r="138" spans="18:30" ht="15" thickBot="1" x14ac:dyDescent="0.35">
      <c r="R138" s="254" t="s">
        <v>115</v>
      </c>
    </row>
    <row r="139" spans="18:30" x14ac:dyDescent="0.3">
      <c r="R139" s="93" t="s">
        <v>12</v>
      </c>
      <c r="S139" s="97">
        <v>0.01</v>
      </c>
      <c r="T139" s="97">
        <v>0.05</v>
      </c>
      <c r="U139" s="97"/>
      <c r="V139" s="97"/>
      <c r="W139" s="97"/>
      <c r="X139" s="342" t="s">
        <v>350</v>
      </c>
    </row>
    <row r="140" spans="18:30" ht="15" thickBot="1" x14ac:dyDescent="0.35">
      <c r="R140" s="99" t="s">
        <v>13</v>
      </c>
      <c r="S140" s="100">
        <v>0</v>
      </c>
      <c r="T140" s="100">
        <v>0.28999999999999998</v>
      </c>
      <c r="U140" s="101">
        <v>0.3</v>
      </c>
      <c r="V140" s="125">
        <v>0.65200000000000002</v>
      </c>
      <c r="W140" s="103">
        <v>0.7</v>
      </c>
      <c r="X140" s="104">
        <v>1</v>
      </c>
    </row>
    <row r="142" spans="18:30" x14ac:dyDescent="0.3">
      <c r="R142" s="90" t="s">
        <v>158</v>
      </c>
    </row>
    <row r="143" spans="18:30" x14ac:dyDescent="0.3">
      <c r="R143" s="105" t="s">
        <v>99</v>
      </c>
      <c r="S143" s="339">
        <v>7.25</v>
      </c>
    </row>
    <row r="144" spans="18:30" x14ac:dyDescent="0.3">
      <c r="R144" s="105" t="s">
        <v>100</v>
      </c>
      <c r="S144" s="90">
        <v>-7.2999999999999995E-2</v>
      </c>
      <c r="U144" s="126"/>
      <c r="AC144" s="91"/>
      <c r="AD144" s="91"/>
    </row>
    <row r="145" spans="18:47" ht="21" x14ac:dyDescent="0.4">
      <c r="R145" s="105"/>
      <c r="V145" s="124"/>
    </row>
    <row r="146" spans="18:47" ht="15" thickBot="1" x14ac:dyDescent="0.35">
      <c r="R146" s="105"/>
      <c r="T146" s="108"/>
      <c r="X146" s="108"/>
      <c r="AI146" t="s">
        <v>216</v>
      </c>
    </row>
    <row r="147" spans="18:47" x14ac:dyDescent="0.3">
      <c r="T147" s="108"/>
      <c r="X147" s="108"/>
      <c r="AI147" s="115" t="s">
        <v>217</v>
      </c>
      <c r="AJ147" s="140">
        <v>29</v>
      </c>
      <c r="AK147" s="141"/>
      <c r="AL147" s="141">
        <v>38</v>
      </c>
      <c r="AM147" s="141"/>
      <c r="AN147" s="140">
        <v>47</v>
      </c>
      <c r="AO147" s="142">
        <v>66</v>
      </c>
    </row>
    <row r="148" spans="18:47" x14ac:dyDescent="0.3">
      <c r="AI148" s="96" t="s">
        <v>218</v>
      </c>
      <c r="AJ148" s="138">
        <v>35</v>
      </c>
      <c r="AK148" s="139"/>
      <c r="AL148" s="139">
        <v>47</v>
      </c>
      <c r="AM148" s="139"/>
      <c r="AN148" s="138">
        <v>56</v>
      </c>
      <c r="AO148" s="143">
        <v>61</v>
      </c>
    </row>
    <row r="149" spans="18:47" x14ac:dyDescent="0.3">
      <c r="AI149" s="96" t="s">
        <v>219</v>
      </c>
      <c r="AJ149" s="138">
        <v>23</v>
      </c>
      <c r="AK149" s="139"/>
      <c r="AL149" s="139">
        <v>42</v>
      </c>
      <c r="AM149" s="139"/>
      <c r="AN149" s="138">
        <v>58</v>
      </c>
      <c r="AO149" s="143">
        <v>68</v>
      </c>
    </row>
    <row r="150" spans="18:47" x14ac:dyDescent="0.3">
      <c r="AI150" s="21" t="s">
        <v>208</v>
      </c>
      <c r="AJ150" s="138">
        <v>25</v>
      </c>
      <c r="AK150" s="139"/>
      <c r="AL150" s="139">
        <v>35</v>
      </c>
      <c r="AM150" s="139"/>
      <c r="AN150" s="138">
        <v>45</v>
      </c>
      <c r="AO150" s="143">
        <v>60</v>
      </c>
    </row>
    <row r="151" spans="18:47" ht="15" thickBot="1" x14ac:dyDescent="0.35">
      <c r="AI151" s="99" t="s">
        <v>4</v>
      </c>
      <c r="AJ151" s="100">
        <v>0</v>
      </c>
      <c r="AK151" s="100">
        <v>0.28999999999999998</v>
      </c>
      <c r="AL151" s="101">
        <v>0.3</v>
      </c>
      <c r="AM151" s="101">
        <v>0.69</v>
      </c>
      <c r="AN151" s="103">
        <v>0.7</v>
      </c>
      <c r="AO151" s="104">
        <v>1</v>
      </c>
    </row>
    <row r="153" spans="18:47" x14ac:dyDescent="0.3">
      <c r="AJ153" s="623" t="s">
        <v>217</v>
      </c>
      <c r="AK153" s="623"/>
      <c r="AL153" s="623"/>
      <c r="AM153" s="623" t="s">
        <v>218</v>
      </c>
      <c r="AN153" s="623"/>
      <c r="AO153" s="623"/>
      <c r="AP153" s="623" t="s">
        <v>219</v>
      </c>
      <c r="AQ153" s="623"/>
      <c r="AR153" s="623"/>
      <c r="AS153" s="422" t="s">
        <v>208</v>
      </c>
      <c r="AT153" s="422"/>
      <c r="AU153" s="422"/>
    </row>
    <row r="154" spans="18:47" ht="17.399999999999999" customHeight="1" x14ac:dyDescent="0.3">
      <c r="AI154" s="105"/>
      <c r="AJ154" t="s">
        <v>101</v>
      </c>
      <c r="AK154" t="s">
        <v>144</v>
      </c>
      <c r="AL154" t="s">
        <v>76</v>
      </c>
      <c r="AM154" t="s">
        <v>101</v>
      </c>
      <c r="AN154" t="s">
        <v>144</v>
      </c>
      <c r="AO154" t="s">
        <v>76</v>
      </c>
      <c r="AP154" t="s">
        <v>101</v>
      </c>
      <c r="AQ154" t="s">
        <v>144</v>
      </c>
      <c r="AR154" t="s">
        <v>76</v>
      </c>
      <c r="AS154" t="s">
        <v>101</v>
      </c>
      <c r="AT154" t="s">
        <v>144</v>
      </c>
      <c r="AU154" t="s">
        <v>76</v>
      </c>
    </row>
    <row r="155" spans="18:47" x14ac:dyDescent="0.3">
      <c r="AI155" s="90" t="s">
        <v>159</v>
      </c>
      <c r="AJ155"/>
      <c r="AK155"/>
      <c r="AL155"/>
      <c r="AM155"/>
      <c r="AN155"/>
      <c r="AO155"/>
      <c r="AQ155"/>
      <c r="AR155"/>
      <c r="AS155"/>
      <c r="AT155"/>
      <c r="AU155"/>
    </row>
    <row r="156" spans="18:47" x14ac:dyDescent="0.3">
      <c r="AI156" s="105" t="s">
        <v>99</v>
      </c>
      <c r="AJ156" s="383">
        <v>3.3329999999999999E-2</v>
      </c>
      <c r="AK156" s="382">
        <v>4.444E-2</v>
      </c>
      <c r="AL156" s="382">
        <v>1.5789999999999998E-2</v>
      </c>
      <c r="AM156" s="382">
        <v>2.5000000000000001E-2</v>
      </c>
      <c r="AN156" s="382">
        <v>4.444E-2</v>
      </c>
      <c r="AO156" s="382">
        <v>0.06</v>
      </c>
      <c r="AP156" s="383">
        <v>1.5789999999999998E-2</v>
      </c>
      <c r="AQ156" s="382">
        <v>2.5000000000000001E-2</v>
      </c>
      <c r="AR156" s="382">
        <v>0.03</v>
      </c>
      <c r="AS156" s="382">
        <v>0.03</v>
      </c>
      <c r="AT156" s="382">
        <v>0.04</v>
      </c>
      <c r="AU156" s="382">
        <v>0.02</v>
      </c>
    </row>
    <row r="157" spans="18:47" x14ac:dyDescent="0.3">
      <c r="AI157" s="105" t="s">
        <v>100</v>
      </c>
      <c r="AJ157" s="382">
        <v>-0.96667000000000003</v>
      </c>
      <c r="AK157" s="382">
        <v>-1.3888990000000001</v>
      </c>
      <c r="AL157" s="382">
        <v>-4.2110000000000002E-2</v>
      </c>
      <c r="AM157" s="382">
        <v>-0.875</v>
      </c>
      <c r="AN157" s="382">
        <v>-1.7888900000000001</v>
      </c>
      <c r="AO157" s="382">
        <v>-2.66</v>
      </c>
      <c r="AP157" s="382">
        <v>-0.36315999999999998</v>
      </c>
      <c r="AQ157" s="382">
        <v>-0.75</v>
      </c>
      <c r="AR157" s="382">
        <v>-1.04</v>
      </c>
      <c r="AS157" s="382">
        <v>-0.75</v>
      </c>
      <c r="AT157" s="382">
        <v>-1.1000000000000001</v>
      </c>
      <c r="AU157" s="382">
        <v>-0.2</v>
      </c>
    </row>
    <row r="158" spans="18:47" x14ac:dyDescent="0.3">
      <c r="AI158" s="105"/>
    </row>
    <row r="159" spans="18:47" x14ac:dyDescent="0.3">
      <c r="AI159" s="105"/>
      <c r="AK159" s="108"/>
      <c r="AL159" s="108"/>
    </row>
    <row r="160" spans="18:47" x14ac:dyDescent="0.3">
      <c r="AK160" s="108"/>
    </row>
    <row r="161" spans="18:37" x14ac:dyDescent="0.3">
      <c r="AK161" s="108"/>
    </row>
    <row r="172" spans="18:37" ht="15" thickBot="1" x14ac:dyDescent="0.35">
      <c r="R172" s="254" t="s">
        <v>303</v>
      </c>
    </row>
    <row r="173" spans="18:37" x14ac:dyDescent="0.3">
      <c r="R173" s="93" t="s">
        <v>12</v>
      </c>
      <c r="S173" s="127">
        <v>6.5</v>
      </c>
      <c r="T173" s="97"/>
      <c r="U173" s="97"/>
      <c r="V173" s="97"/>
      <c r="W173" s="127">
        <v>5</v>
      </c>
      <c r="X173" s="128">
        <v>4</v>
      </c>
    </row>
    <row r="174" spans="18:37" ht="15" thickBot="1" x14ac:dyDescent="0.35">
      <c r="R174" s="99" t="s">
        <v>13</v>
      </c>
      <c r="S174" s="100">
        <v>0</v>
      </c>
      <c r="T174" s="100">
        <v>0.28999999999999998</v>
      </c>
      <c r="U174" s="101">
        <v>0.3</v>
      </c>
      <c r="V174" s="101">
        <v>0.69</v>
      </c>
      <c r="W174" s="103">
        <v>0.7</v>
      </c>
      <c r="X174" s="131">
        <v>1</v>
      </c>
    </row>
    <row r="176" spans="18:37" x14ac:dyDescent="0.3">
      <c r="R176" s="36" t="s">
        <v>160</v>
      </c>
      <c r="T176" s="105"/>
    </row>
    <row r="177" spans="18:28" x14ac:dyDescent="0.3">
      <c r="R177" s="211" t="s">
        <v>99</v>
      </c>
      <c r="S177" s="211">
        <v>-6.6699999999999995E-2</v>
      </c>
      <c r="V177" s="380"/>
    </row>
    <row r="178" spans="18:28" x14ac:dyDescent="0.3">
      <c r="R178" s="211" t="s">
        <v>100</v>
      </c>
      <c r="S178" s="343">
        <v>0.3</v>
      </c>
      <c r="U178" s="108"/>
    </row>
    <row r="179" spans="18:28" x14ac:dyDescent="0.3">
      <c r="R179" s="211" t="s">
        <v>102</v>
      </c>
      <c r="S179" s="211">
        <v>0.86670000000000003</v>
      </c>
      <c r="T179" s="108"/>
    </row>
    <row r="183" spans="18:28" ht="14.4" customHeight="1" x14ac:dyDescent="0.3"/>
    <row r="184" spans="18:28" ht="13.95" customHeight="1" x14ac:dyDescent="0.3"/>
    <row r="185" spans="18:28" ht="12.6" customHeight="1" x14ac:dyDescent="0.3"/>
    <row r="186" spans="18:28" x14ac:dyDescent="0.3">
      <c r="AB186" s="91"/>
    </row>
    <row r="193" spans="2:47" ht="15" thickBot="1" x14ac:dyDescent="0.35">
      <c r="AI193" t="s">
        <v>220</v>
      </c>
    </row>
    <row r="194" spans="2:47" x14ac:dyDescent="0.3">
      <c r="AI194" s="115" t="s">
        <v>221</v>
      </c>
      <c r="AJ194" s="140">
        <v>38</v>
      </c>
      <c r="AK194" s="141"/>
      <c r="AL194" s="141">
        <v>49</v>
      </c>
      <c r="AM194" s="141"/>
      <c r="AN194" s="140">
        <v>60</v>
      </c>
      <c r="AO194" s="142">
        <v>71</v>
      </c>
    </row>
    <row r="195" spans="2:47" x14ac:dyDescent="0.3">
      <c r="AI195" s="96" t="s">
        <v>222</v>
      </c>
      <c r="AJ195" s="31">
        <v>35</v>
      </c>
      <c r="AK195" s="139"/>
      <c r="AL195" s="139">
        <v>50</v>
      </c>
      <c r="AM195" s="139"/>
      <c r="AN195" s="138">
        <v>59</v>
      </c>
      <c r="AO195" s="143">
        <v>66</v>
      </c>
    </row>
    <row r="196" spans="2:47" x14ac:dyDescent="0.3">
      <c r="AI196" s="21" t="s">
        <v>223</v>
      </c>
      <c r="AJ196" s="31">
        <v>33</v>
      </c>
      <c r="AK196" s="139"/>
      <c r="AL196" s="139">
        <v>55</v>
      </c>
      <c r="AM196" s="139"/>
      <c r="AN196" s="138">
        <v>62</v>
      </c>
      <c r="AO196" s="143">
        <v>74</v>
      </c>
    </row>
    <row r="197" spans="2:47" x14ac:dyDescent="0.3">
      <c r="AI197" s="21" t="s">
        <v>212</v>
      </c>
      <c r="AJ197" s="31">
        <v>37</v>
      </c>
      <c r="AK197" s="139"/>
      <c r="AL197" s="139">
        <v>50</v>
      </c>
      <c r="AM197" s="139"/>
      <c r="AN197" s="138">
        <v>63</v>
      </c>
      <c r="AO197" s="143">
        <v>82</v>
      </c>
    </row>
    <row r="198" spans="2:47" ht="15" thickBot="1" x14ac:dyDescent="0.35">
      <c r="AI198" s="99" t="s">
        <v>4</v>
      </c>
      <c r="AJ198" s="100">
        <v>0</v>
      </c>
      <c r="AK198" s="100">
        <v>0.28999999999999998</v>
      </c>
      <c r="AL198" s="101">
        <v>0.3</v>
      </c>
      <c r="AM198" s="101">
        <v>0.69</v>
      </c>
      <c r="AN198" s="103">
        <v>0.7</v>
      </c>
      <c r="AO198" s="104">
        <v>1</v>
      </c>
    </row>
    <row r="200" spans="2:47" x14ac:dyDescent="0.3">
      <c r="AJ200" s="623" t="s">
        <v>221</v>
      </c>
      <c r="AK200" s="623"/>
      <c r="AL200" s="623"/>
      <c r="AM200" s="623" t="s">
        <v>222</v>
      </c>
      <c r="AN200" s="623"/>
      <c r="AO200" s="623"/>
      <c r="AP200" s="623" t="s">
        <v>223</v>
      </c>
      <c r="AQ200" s="623"/>
      <c r="AR200" s="623"/>
      <c r="AS200" s="422" t="s">
        <v>212</v>
      </c>
      <c r="AT200" s="422"/>
      <c r="AU200" s="422"/>
    </row>
    <row r="201" spans="2:47" x14ac:dyDescent="0.3">
      <c r="AI201" s="105"/>
      <c r="AJ201" t="s">
        <v>101</v>
      </c>
      <c r="AK201" t="s">
        <v>144</v>
      </c>
      <c r="AL201" t="s">
        <v>76</v>
      </c>
      <c r="AM201" t="s">
        <v>101</v>
      </c>
      <c r="AN201" t="s">
        <v>144</v>
      </c>
      <c r="AO201" t="s">
        <v>76</v>
      </c>
      <c r="AP201" t="s">
        <v>101</v>
      </c>
      <c r="AQ201" t="s">
        <v>144</v>
      </c>
      <c r="AR201" t="s">
        <v>76</v>
      </c>
      <c r="AS201" t="s">
        <v>101</v>
      </c>
      <c r="AT201" t="s">
        <v>144</v>
      </c>
      <c r="AU201" t="s">
        <v>76</v>
      </c>
    </row>
    <row r="202" spans="2:47" x14ac:dyDescent="0.3">
      <c r="AI202" s="90" t="s">
        <v>159</v>
      </c>
      <c r="AJ202"/>
      <c r="AK202"/>
      <c r="AL202"/>
      <c r="AM202"/>
      <c r="AN202"/>
      <c r="AO202"/>
      <c r="AQ202"/>
      <c r="AR202"/>
      <c r="AS202"/>
      <c r="AT202"/>
      <c r="AU202"/>
    </row>
    <row r="203" spans="2:47" x14ac:dyDescent="0.3">
      <c r="B203" s="105"/>
      <c r="AI203" s="105" t="s">
        <v>99</v>
      </c>
      <c r="AJ203" s="383">
        <v>2.7300000000000001E-2</v>
      </c>
      <c r="AK203" s="383">
        <v>3.6360000000000003E-2</v>
      </c>
      <c r="AL203" s="383">
        <v>2.7300000000000001E-2</v>
      </c>
      <c r="AM203" s="383">
        <v>0.02</v>
      </c>
      <c r="AN203" s="383">
        <v>4.4400000000000002E-2</v>
      </c>
      <c r="AO203" s="383">
        <v>4.2900000000000001E-2</v>
      </c>
      <c r="AP203" s="383">
        <v>1.3639999999999999E-2</v>
      </c>
      <c r="AQ203" s="383">
        <v>5.7140000000000003E-2</v>
      </c>
      <c r="AR203" s="383">
        <v>2.5000000000000001E-2</v>
      </c>
      <c r="AS203" s="383">
        <v>2.308E-2</v>
      </c>
      <c r="AT203" s="383">
        <v>3.0769999999999999E-2</v>
      </c>
      <c r="AU203" s="383">
        <v>1.5789999999999998E-2</v>
      </c>
    </row>
    <row r="204" spans="2:47" ht="15" thickBot="1" x14ac:dyDescent="0.35">
      <c r="B204" s="105"/>
      <c r="D204" s="108"/>
      <c r="R204" s="90" t="s">
        <v>132</v>
      </c>
      <c r="AI204" s="105" t="s">
        <v>100</v>
      </c>
      <c r="AJ204" s="383">
        <v>-1.0364</v>
      </c>
      <c r="AK204" s="383">
        <v>-1.4818199999999999</v>
      </c>
      <c r="AL204" s="383">
        <v>-0.93640000000000001</v>
      </c>
      <c r="AM204" s="383">
        <v>-0.7</v>
      </c>
      <c r="AN204" s="383">
        <v>-1.9221999999999999</v>
      </c>
      <c r="AO204" s="383">
        <v>-1.8286</v>
      </c>
      <c r="AP204" s="383">
        <v>-0.45</v>
      </c>
      <c r="AQ204" s="383">
        <v>-2.8428599999999999</v>
      </c>
      <c r="AR204" s="383">
        <v>-0.85</v>
      </c>
      <c r="AS204" s="383">
        <v>-0.85385</v>
      </c>
      <c r="AT204" s="383">
        <v>-1.2384599999999999</v>
      </c>
      <c r="AU204" s="383">
        <v>-0.29474</v>
      </c>
    </row>
    <row r="205" spans="2:47" x14ac:dyDescent="0.3">
      <c r="R205" s="93" t="s">
        <v>12</v>
      </c>
      <c r="S205" s="255">
        <v>8</v>
      </c>
      <c r="T205" s="255"/>
      <c r="U205" s="256"/>
      <c r="V205" s="256"/>
      <c r="W205" s="255">
        <v>6</v>
      </c>
      <c r="X205" s="261">
        <v>5</v>
      </c>
      <c r="AI205" s="105"/>
    </row>
    <row r="206" spans="2:47" ht="15" thickBot="1" x14ac:dyDescent="0.35">
      <c r="R206" s="99" t="s">
        <v>13</v>
      </c>
      <c r="S206" s="100">
        <v>0</v>
      </c>
      <c r="T206" s="100">
        <v>0.28999999999999998</v>
      </c>
      <c r="U206" s="101">
        <v>0.3</v>
      </c>
      <c r="V206" s="101">
        <v>0.69</v>
      </c>
      <c r="W206" s="103">
        <v>0.7</v>
      </c>
      <c r="X206" s="104">
        <v>1</v>
      </c>
      <c r="AI206" s="105"/>
      <c r="AK206" s="108"/>
      <c r="AL206" s="108"/>
    </row>
    <row r="207" spans="2:47" x14ac:dyDescent="0.3">
      <c r="AK207" s="108"/>
    </row>
    <row r="208" spans="2:47" x14ac:dyDescent="0.3">
      <c r="R208" s="36" t="s">
        <v>160</v>
      </c>
      <c r="AK208" s="108"/>
    </row>
    <row r="209" spans="2:20" x14ac:dyDescent="0.3">
      <c r="R209" s="211" t="s">
        <v>99</v>
      </c>
      <c r="S209" s="211">
        <v>-1.67E-2</v>
      </c>
    </row>
    <row r="210" spans="2:20" x14ac:dyDescent="0.3">
      <c r="R210" s="211" t="s">
        <v>100</v>
      </c>
      <c r="S210" s="211">
        <v>-0.1167</v>
      </c>
    </row>
    <row r="211" spans="2:20" x14ac:dyDescent="0.3">
      <c r="R211" s="211" t="s">
        <v>102</v>
      </c>
      <c r="S211" s="343">
        <v>2</v>
      </c>
      <c r="T211" s="108"/>
    </row>
    <row r="212" spans="2:20" x14ac:dyDescent="0.3">
      <c r="B212" s="105"/>
    </row>
    <row r="213" spans="2:20" x14ac:dyDescent="0.3">
      <c r="B213" s="105"/>
      <c r="D213" s="108"/>
    </row>
    <row r="236" spans="18:24" ht="15" thickBot="1" x14ac:dyDescent="0.35">
      <c r="R236" t="s">
        <v>266</v>
      </c>
    </row>
    <row r="237" spans="18:24" x14ac:dyDescent="0.3">
      <c r="R237" s="627" t="s">
        <v>12</v>
      </c>
      <c r="S237" s="127">
        <v>1</v>
      </c>
      <c r="T237" s="97"/>
      <c r="U237" s="97"/>
      <c r="V237" s="97"/>
      <c r="W237" s="97"/>
      <c r="X237" s="128">
        <v>3.5</v>
      </c>
    </row>
    <row r="238" spans="18:24" x14ac:dyDescent="0.3">
      <c r="R238" s="628"/>
      <c r="S238" s="129">
        <v>9</v>
      </c>
      <c r="T238" s="91"/>
      <c r="U238" s="91"/>
      <c r="V238" s="91"/>
      <c r="W238" s="91"/>
      <c r="X238" s="260">
        <v>6</v>
      </c>
    </row>
    <row r="239" spans="18:24" ht="15" thickBot="1" x14ac:dyDescent="0.35">
      <c r="R239" s="99" t="s">
        <v>13</v>
      </c>
      <c r="S239" s="100">
        <v>0</v>
      </c>
      <c r="T239" s="100">
        <v>0.28999999999999998</v>
      </c>
      <c r="U239" s="101">
        <v>0.3</v>
      </c>
      <c r="V239" s="101">
        <v>0.69</v>
      </c>
      <c r="W239" s="103">
        <v>0.7</v>
      </c>
      <c r="X239" s="104">
        <v>1</v>
      </c>
    </row>
    <row r="241" spans="18:45" ht="15" thickBot="1" x14ac:dyDescent="0.35">
      <c r="S241" s="259" t="s">
        <v>133</v>
      </c>
      <c r="T241" s="259" t="s">
        <v>134</v>
      </c>
      <c r="AI241" t="s">
        <v>224</v>
      </c>
    </row>
    <row r="242" spans="18:45" x14ac:dyDescent="0.3">
      <c r="R242" t="s">
        <v>190</v>
      </c>
      <c r="AI242" s="115" t="s">
        <v>225</v>
      </c>
      <c r="AJ242" s="140">
        <v>15</v>
      </c>
      <c r="AK242" s="141"/>
      <c r="AL242" s="141">
        <v>42</v>
      </c>
      <c r="AM242" s="141"/>
      <c r="AN242" s="140">
        <v>52</v>
      </c>
      <c r="AO242" s="142">
        <v>70</v>
      </c>
    </row>
    <row r="243" spans="18:45" ht="15" thickBot="1" x14ac:dyDescent="0.35">
      <c r="R243" s="259" t="s">
        <v>99</v>
      </c>
      <c r="S243" s="344">
        <v>0.4</v>
      </c>
      <c r="T243" s="344">
        <v>-0.33329999999999999</v>
      </c>
      <c r="AI243" s="99" t="s">
        <v>4</v>
      </c>
      <c r="AJ243" s="100">
        <v>0</v>
      </c>
      <c r="AK243" s="100">
        <v>0.28999999999999998</v>
      </c>
      <c r="AL243" s="101">
        <v>0.3</v>
      </c>
      <c r="AM243" s="101">
        <v>0.69</v>
      </c>
      <c r="AN243" s="103">
        <v>0.7</v>
      </c>
      <c r="AO243" s="104">
        <v>1</v>
      </c>
    </row>
    <row r="244" spans="18:45" x14ac:dyDescent="0.3">
      <c r="R244" s="259" t="s">
        <v>100</v>
      </c>
      <c r="S244" s="344">
        <v>-0.4</v>
      </c>
      <c r="T244" s="344">
        <v>3</v>
      </c>
      <c r="U244" s="108"/>
    </row>
    <row r="245" spans="18:45" x14ac:dyDescent="0.3">
      <c r="AI245" s="105"/>
      <c r="AJ245" t="s">
        <v>101</v>
      </c>
      <c r="AK245" t="s">
        <v>144</v>
      </c>
      <c r="AL245" t="s">
        <v>76</v>
      </c>
      <c r="AM245"/>
      <c r="AN245"/>
      <c r="AO245"/>
      <c r="AP245"/>
      <c r="AQ245"/>
      <c r="AR245"/>
      <c r="AS245"/>
    </row>
    <row r="246" spans="18:45" x14ac:dyDescent="0.3">
      <c r="AI246" s="90" t="s">
        <v>159</v>
      </c>
      <c r="AJ246"/>
      <c r="AK246"/>
      <c r="AL246"/>
      <c r="AM246"/>
      <c r="AN246"/>
      <c r="AO246"/>
      <c r="AQ246"/>
      <c r="AR246"/>
      <c r="AS246"/>
    </row>
    <row r="247" spans="18:45" x14ac:dyDescent="0.3">
      <c r="AI247" s="105" t="s">
        <v>99</v>
      </c>
      <c r="AJ247">
        <v>1.111E-2</v>
      </c>
      <c r="AK247" s="382">
        <v>0.04</v>
      </c>
      <c r="AL247">
        <v>1.6670000000000001E-2</v>
      </c>
      <c r="AM247" s="201"/>
      <c r="AN247" s="201"/>
      <c r="AO247" s="201"/>
      <c r="AP247" s="201"/>
      <c r="AQ247" s="202"/>
      <c r="AR247" s="202"/>
      <c r="AS247" s="201"/>
    </row>
    <row r="248" spans="18:45" x14ac:dyDescent="0.3">
      <c r="AI248" s="105" t="s">
        <v>100</v>
      </c>
      <c r="AJ248">
        <v>-0.16667000000000001</v>
      </c>
      <c r="AK248" s="382">
        <v>-1.38</v>
      </c>
      <c r="AL248">
        <v>-0.16667000000000001</v>
      </c>
      <c r="AM248" s="201"/>
      <c r="AN248" s="201"/>
      <c r="AO248" s="201"/>
      <c r="AP248" s="201"/>
      <c r="AQ248" s="202"/>
      <c r="AR248" s="202"/>
      <c r="AS248" s="201"/>
    </row>
    <row r="249" spans="18:45" x14ac:dyDescent="0.3">
      <c r="AI249" s="105"/>
    </row>
    <row r="250" spans="18:45" x14ac:dyDescent="0.3">
      <c r="AI250" s="105"/>
      <c r="AK250" s="108"/>
      <c r="AL250" s="108"/>
    </row>
    <row r="251" spans="18:45" x14ac:dyDescent="0.3">
      <c r="AK251" s="108"/>
    </row>
    <row r="252" spans="18:45" x14ac:dyDescent="0.3">
      <c r="AK252" s="108"/>
    </row>
    <row r="270" spans="18:24" ht="15" thickBot="1" x14ac:dyDescent="0.35">
      <c r="R270" s="90" t="s">
        <v>47</v>
      </c>
    </row>
    <row r="271" spans="18:24" x14ac:dyDescent="0.3">
      <c r="R271" s="93" t="s">
        <v>12</v>
      </c>
      <c r="S271" s="127">
        <v>1.1000000000000001</v>
      </c>
      <c r="T271" s="97"/>
      <c r="U271" s="97">
        <v>1.5</v>
      </c>
      <c r="V271" s="97"/>
      <c r="W271" s="127">
        <v>2</v>
      </c>
      <c r="X271" s="128">
        <v>3</v>
      </c>
    </row>
    <row r="272" spans="18:24" ht="15" thickBot="1" x14ac:dyDescent="0.35">
      <c r="R272" s="99" t="s">
        <v>13</v>
      </c>
      <c r="S272" s="100">
        <v>0</v>
      </c>
      <c r="T272" s="100">
        <v>0.28999999999999998</v>
      </c>
      <c r="U272" s="101">
        <v>0.3</v>
      </c>
      <c r="V272" s="101">
        <v>0.69</v>
      </c>
      <c r="W272" s="103">
        <v>0.7</v>
      </c>
      <c r="X272" s="104">
        <v>1</v>
      </c>
    </row>
    <row r="274" spans="13:20" x14ac:dyDescent="0.3">
      <c r="R274" s="105"/>
      <c r="S274" s="31" t="s">
        <v>191</v>
      </c>
      <c r="T274" s="105" t="s">
        <v>76</v>
      </c>
    </row>
    <row r="275" spans="13:20" x14ac:dyDescent="0.3">
      <c r="M275" s="36"/>
      <c r="R275" s="36" t="s">
        <v>160</v>
      </c>
    </row>
    <row r="276" spans="13:20" x14ac:dyDescent="0.3">
      <c r="R276" s="31" t="s">
        <v>99</v>
      </c>
      <c r="S276">
        <v>5.5599999999999997E-2</v>
      </c>
    </row>
    <row r="277" spans="13:20" x14ac:dyDescent="0.3">
      <c r="R277" s="253" t="s">
        <v>100</v>
      </c>
      <c r="S277">
        <v>0.60560000000000003</v>
      </c>
      <c r="T277" s="344">
        <v>0.3</v>
      </c>
    </row>
    <row r="278" spans="13:20" x14ac:dyDescent="0.3">
      <c r="R278" s="31" t="s">
        <v>102</v>
      </c>
      <c r="S278">
        <v>-0.73329999999999995</v>
      </c>
      <c r="T278" s="344">
        <v>0.1</v>
      </c>
    </row>
    <row r="279" spans="13:20" x14ac:dyDescent="0.3">
      <c r="T279" s="108"/>
    </row>
    <row r="287" spans="13:20" x14ac:dyDescent="0.3">
      <c r="R287" s="91"/>
    </row>
    <row r="288" spans="13:20" x14ac:dyDescent="0.3">
      <c r="R288" s="91"/>
    </row>
    <row r="290" spans="18:24" x14ac:dyDescent="0.3">
      <c r="R290" s="91"/>
    </row>
    <row r="291" spans="18:24" x14ac:dyDescent="0.3">
      <c r="R291" s="91"/>
    </row>
    <row r="298" spans="18:24" x14ac:dyDescent="0.3">
      <c r="R298" s="91"/>
    </row>
    <row r="299" spans="18:24" x14ac:dyDescent="0.3">
      <c r="R299" s="91"/>
    </row>
    <row r="301" spans="18:24" x14ac:dyDescent="0.3">
      <c r="R301" s="91"/>
      <c r="S301" s="91"/>
      <c r="T301" s="91"/>
      <c r="U301" s="91"/>
      <c r="V301" s="91"/>
      <c r="W301" s="91"/>
      <c r="X301" s="91"/>
    </row>
    <row r="302" spans="18:24" x14ac:dyDescent="0.3">
      <c r="R302" s="91"/>
    </row>
    <row r="303" spans="18:24" ht="15" thickBot="1" x14ac:dyDescent="0.35">
      <c r="R303" s="254" t="s">
        <v>267</v>
      </c>
    </row>
    <row r="304" spans="18:24" x14ac:dyDescent="0.3">
      <c r="R304" s="624" t="s">
        <v>12</v>
      </c>
      <c r="S304" s="117">
        <v>20</v>
      </c>
      <c r="T304" s="97"/>
      <c r="U304" s="97"/>
      <c r="V304" s="97"/>
      <c r="W304" s="97"/>
      <c r="X304" s="132">
        <v>50</v>
      </c>
    </row>
    <row r="305" spans="18:24" x14ac:dyDescent="0.3">
      <c r="R305" s="625"/>
      <c r="S305" s="134">
        <v>90</v>
      </c>
      <c r="T305" s="91"/>
      <c r="U305" s="91"/>
      <c r="V305" s="91"/>
      <c r="W305" s="91"/>
      <c r="X305" s="133">
        <v>60</v>
      </c>
    </row>
    <row r="306" spans="18:24" ht="15" thickBot="1" x14ac:dyDescent="0.35">
      <c r="R306" s="99" t="s">
        <v>13</v>
      </c>
      <c r="S306" s="100">
        <v>0</v>
      </c>
      <c r="T306" s="100">
        <v>0.28999999999999998</v>
      </c>
      <c r="U306" s="101">
        <v>0.3</v>
      </c>
      <c r="V306" s="101">
        <v>0.69</v>
      </c>
      <c r="W306" s="103">
        <v>0.7</v>
      </c>
      <c r="X306" s="104">
        <v>1</v>
      </c>
    </row>
    <row r="307" spans="18:24" ht="17.399999999999999" customHeight="1" x14ac:dyDescent="0.3"/>
    <row r="308" spans="18:24" x14ac:dyDescent="0.3">
      <c r="S308" s="105" t="s">
        <v>133</v>
      </c>
      <c r="T308" s="105" t="s">
        <v>135</v>
      </c>
    </row>
    <row r="309" spans="18:24" x14ac:dyDescent="0.3">
      <c r="R309" t="s">
        <v>172</v>
      </c>
    </row>
    <row r="310" spans="18:24" x14ac:dyDescent="0.3">
      <c r="R310" s="31" t="s">
        <v>99</v>
      </c>
      <c r="S310">
        <v>3.3300000000000003E-2</v>
      </c>
      <c r="T310">
        <v>-3.3300000000000003E-2</v>
      </c>
    </row>
    <row r="311" spans="18:24" x14ac:dyDescent="0.3">
      <c r="R311" s="31" t="s">
        <v>100</v>
      </c>
      <c r="S311">
        <v>-0.66669999999999996</v>
      </c>
      <c r="T311" s="344">
        <v>3</v>
      </c>
    </row>
    <row r="312" spans="18:24" x14ac:dyDescent="0.3">
      <c r="T312" s="108"/>
    </row>
    <row r="326" spans="18:24" x14ac:dyDescent="0.3">
      <c r="S326" s="91"/>
      <c r="T326" s="91"/>
      <c r="U326" s="91"/>
      <c r="V326" s="91"/>
      <c r="W326" s="91"/>
      <c r="X326" s="91"/>
    </row>
    <row r="327" spans="18:24" x14ac:dyDescent="0.3">
      <c r="S327" s="91"/>
      <c r="T327" s="91"/>
      <c r="U327" s="91"/>
      <c r="V327" s="91"/>
      <c r="W327" s="91"/>
      <c r="X327" s="91"/>
    </row>
    <row r="332" spans="18:24" x14ac:dyDescent="0.3">
      <c r="S332" s="91"/>
      <c r="T332" s="91"/>
      <c r="U332" s="91"/>
      <c r="V332" s="91"/>
      <c r="W332" s="91"/>
      <c r="X332" s="91"/>
    </row>
    <row r="333" spans="18:24" x14ac:dyDescent="0.3">
      <c r="S333" s="91"/>
      <c r="T333" s="91"/>
      <c r="U333" s="91"/>
      <c r="V333" s="91"/>
      <c r="W333" s="91"/>
      <c r="X333" s="91"/>
    </row>
    <row r="336" spans="18:24" ht="15" thickBot="1" x14ac:dyDescent="0.35">
      <c r="R336" s="254" t="s">
        <v>268</v>
      </c>
    </row>
    <row r="337" spans="18:24" x14ac:dyDescent="0.3">
      <c r="R337" s="626" t="s">
        <v>12</v>
      </c>
      <c r="S337" s="117">
        <v>20</v>
      </c>
      <c r="T337" s="97"/>
      <c r="U337" s="97"/>
      <c r="V337" s="97"/>
      <c r="W337" s="97"/>
      <c r="X337" s="98">
        <v>45</v>
      </c>
    </row>
    <row r="338" spans="18:24" x14ac:dyDescent="0.3">
      <c r="R338" s="625"/>
      <c r="S338" s="134">
        <v>85</v>
      </c>
      <c r="T338" s="91"/>
      <c r="U338" s="91"/>
      <c r="V338" s="91"/>
      <c r="W338" s="91"/>
      <c r="X338" s="116">
        <v>65</v>
      </c>
    </row>
    <row r="339" spans="18:24" ht="15" thickBot="1" x14ac:dyDescent="0.35">
      <c r="R339" s="190" t="s">
        <v>13</v>
      </c>
      <c r="S339" s="100">
        <v>0</v>
      </c>
      <c r="T339" s="100">
        <v>0.28999999999999998</v>
      </c>
      <c r="U339" s="101">
        <v>0.3</v>
      </c>
      <c r="V339" s="101">
        <v>0.69</v>
      </c>
      <c r="W339" s="103">
        <v>0.7</v>
      </c>
      <c r="X339" s="104">
        <v>1</v>
      </c>
    </row>
    <row r="341" spans="18:24" x14ac:dyDescent="0.3">
      <c r="S341" s="105" t="s">
        <v>133</v>
      </c>
      <c r="T341" s="105" t="s">
        <v>135</v>
      </c>
    </row>
    <row r="342" spans="18:24" x14ac:dyDescent="0.3">
      <c r="R342" t="s">
        <v>172</v>
      </c>
    </row>
    <row r="343" spans="18:24" x14ac:dyDescent="0.3">
      <c r="R343" s="31" t="s">
        <v>99</v>
      </c>
      <c r="S343">
        <v>0.04</v>
      </c>
      <c r="T343">
        <v>-0.05</v>
      </c>
    </row>
    <row r="344" spans="18:24" x14ac:dyDescent="0.3">
      <c r="R344" s="31" t="s">
        <v>100</v>
      </c>
      <c r="S344" s="2">
        <v>-0.8</v>
      </c>
      <c r="T344">
        <v>4.25</v>
      </c>
    </row>
    <row r="361" spans="9:17" x14ac:dyDescent="0.3">
      <c r="I361" s="91"/>
      <c r="J361" s="91"/>
      <c r="K361" s="91"/>
      <c r="L361" s="91"/>
      <c r="M361" s="91"/>
      <c r="N361" s="91"/>
      <c r="O361" s="91"/>
      <c r="P361" s="91"/>
      <c r="Q361" s="91"/>
    </row>
    <row r="362" spans="9:17" x14ac:dyDescent="0.3">
      <c r="I362" s="91"/>
      <c r="J362" s="91"/>
      <c r="K362" s="91"/>
      <c r="L362" s="91"/>
      <c r="M362" s="91"/>
      <c r="N362" s="91"/>
      <c r="O362" s="91"/>
      <c r="P362" s="91"/>
      <c r="Q362" s="91"/>
    </row>
    <row r="370" spans="18:24" ht="15" thickBot="1" x14ac:dyDescent="0.35">
      <c r="R370" s="90" t="s">
        <v>136</v>
      </c>
    </row>
    <row r="371" spans="18:24" x14ac:dyDescent="0.3">
      <c r="R371" s="93" t="s">
        <v>12</v>
      </c>
      <c r="S371" s="97">
        <v>1.6</v>
      </c>
      <c r="T371" s="97"/>
      <c r="U371" s="97">
        <v>1.4</v>
      </c>
      <c r="V371" s="97">
        <v>1.2</v>
      </c>
      <c r="W371" s="97"/>
      <c r="X371" s="98">
        <v>1</v>
      </c>
    </row>
    <row r="372" spans="18:24" ht="15" thickBot="1" x14ac:dyDescent="0.35">
      <c r="R372" s="99" t="s">
        <v>13</v>
      </c>
      <c r="S372" s="100">
        <v>0</v>
      </c>
      <c r="T372" s="100">
        <v>0.28999999999999998</v>
      </c>
      <c r="U372" s="101">
        <v>0.3</v>
      </c>
      <c r="V372" s="101">
        <v>0.69</v>
      </c>
      <c r="W372" s="103">
        <v>0.7</v>
      </c>
      <c r="X372" s="104">
        <v>1</v>
      </c>
    </row>
    <row r="374" spans="18:24" x14ac:dyDescent="0.3">
      <c r="R374" s="90" t="s">
        <v>137</v>
      </c>
    </row>
    <row r="375" spans="18:24" x14ac:dyDescent="0.3">
      <c r="R375" s="105" t="s">
        <v>99</v>
      </c>
      <c r="S375" s="111">
        <v>3.5417000000000001</v>
      </c>
    </row>
    <row r="376" spans="18:24" x14ac:dyDescent="0.3">
      <c r="R376" s="105" t="s">
        <v>100</v>
      </c>
      <c r="S376" s="111">
        <v>-13.75</v>
      </c>
    </row>
    <row r="377" spans="18:24" x14ac:dyDescent="0.3">
      <c r="R377" s="105" t="s">
        <v>102</v>
      </c>
      <c r="S377" s="111">
        <v>15.808</v>
      </c>
    </row>
    <row r="378" spans="18:24" x14ac:dyDescent="0.3">
      <c r="R378" s="105" t="s">
        <v>103</v>
      </c>
      <c r="S378" s="111">
        <v>-4.5999999999999996</v>
      </c>
      <c r="T378" s="108"/>
    </row>
    <row r="404" spans="18:24" ht="15" thickBot="1" x14ac:dyDescent="0.35">
      <c r="R404" t="s">
        <v>305</v>
      </c>
    </row>
    <row r="405" spans="18:24" x14ac:dyDescent="0.3">
      <c r="R405" s="188" t="s">
        <v>198</v>
      </c>
      <c r="S405" s="94">
        <v>30</v>
      </c>
      <c r="T405" s="94"/>
      <c r="U405" s="146"/>
      <c r="V405" s="146"/>
      <c r="W405" s="146"/>
      <c r="X405" s="147">
        <v>100</v>
      </c>
    </row>
    <row r="406" spans="18:24" x14ac:dyDescent="0.3">
      <c r="R406" s="21" t="s">
        <v>199</v>
      </c>
      <c r="S406" s="90">
        <v>60</v>
      </c>
      <c r="U406" s="148"/>
      <c r="V406" s="130"/>
      <c r="W406" s="130"/>
      <c r="X406" s="149">
        <v>100</v>
      </c>
    </row>
    <row r="407" spans="18:24" ht="15" thickBot="1" x14ac:dyDescent="0.35">
      <c r="R407" s="99" t="s">
        <v>13</v>
      </c>
      <c r="S407" s="100">
        <v>0</v>
      </c>
      <c r="T407" s="100">
        <v>0.28999999999999998</v>
      </c>
      <c r="U407" s="101">
        <v>0.3</v>
      </c>
      <c r="V407" s="101">
        <v>0.69</v>
      </c>
      <c r="W407" s="103">
        <v>0.7</v>
      </c>
      <c r="X407" s="104">
        <v>1</v>
      </c>
    </row>
    <row r="409" spans="18:24" x14ac:dyDescent="0.3">
      <c r="S409" s="118" t="s">
        <v>155</v>
      </c>
      <c r="T409" s="118" t="str">
        <f>R406</f>
        <v>Confined Alluvial or Colluvial/V-Shaped Valleys</v>
      </c>
      <c r="U409" s="110"/>
    </row>
    <row r="410" spans="18:24" x14ac:dyDescent="0.3">
      <c r="R410" t="s">
        <v>172</v>
      </c>
      <c r="T410"/>
    </row>
    <row r="411" spans="18:24" x14ac:dyDescent="0.3">
      <c r="R411" s="105" t="s">
        <v>99</v>
      </c>
      <c r="S411" s="90">
        <v>1.43E-2</v>
      </c>
      <c r="T411" s="111">
        <v>2.5000000000000001E-2</v>
      </c>
    </row>
    <row r="412" spans="18:24" x14ac:dyDescent="0.3">
      <c r="R412" s="105" t="s">
        <v>100</v>
      </c>
      <c r="S412" s="90">
        <v>-0.42859999999999998</v>
      </c>
      <c r="T412" s="111">
        <v>-1.5</v>
      </c>
    </row>
    <row r="438" spans="18:24" ht="15" thickBot="1" x14ac:dyDescent="0.35">
      <c r="R438" t="s">
        <v>296</v>
      </c>
    </row>
    <row r="439" spans="18:24" x14ac:dyDescent="0.3">
      <c r="R439" s="291" t="s">
        <v>301</v>
      </c>
      <c r="S439" s="97">
        <v>50</v>
      </c>
      <c r="T439" s="150"/>
      <c r="U439" s="97"/>
      <c r="V439" s="150"/>
      <c r="W439" s="97"/>
      <c r="X439" s="151">
        <v>80</v>
      </c>
    </row>
    <row r="440" spans="18:24" x14ac:dyDescent="0.3">
      <c r="R440" s="292" t="s">
        <v>372</v>
      </c>
      <c r="S440" s="309">
        <v>80</v>
      </c>
      <c r="T440" s="310"/>
      <c r="U440" s="309"/>
      <c r="V440" s="310"/>
      <c r="W440" s="309"/>
      <c r="X440" s="311">
        <v>50</v>
      </c>
    </row>
    <row r="441" spans="18:24" ht="15" thickBot="1" x14ac:dyDescent="0.35">
      <c r="R441" s="99" t="s">
        <v>13</v>
      </c>
      <c r="S441" s="119">
        <v>0</v>
      </c>
      <c r="T441" s="119">
        <v>0.28999999999999998</v>
      </c>
      <c r="U441" s="120">
        <v>0.3</v>
      </c>
      <c r="V441" s="120">
        <v>0.69</v>
      </c>
      <c r="W441" s="121">
        <v>0.7</v>
      </c>
      <c r="X441" s="122">
        <v>1</v>
      </c>
    </row>
    <row r="443" spans="18:24" x14ac:dyDescent="0.3">
      <c r="S443" s="118" t="str">
        <f>R439</f>
        <v>Woody vegetation is a natural component of riparian zone</v>
      </c>
      <c r="T443" s="118" t="str">
        <f>R440</f>
        <v>Woody vegetation is not a natural component of riparian zone</v>
      </c>
      <c r="U443" s="118"/>
    </row>
    <row r="444" spans="18:24" x14ac:dyDescent="0.3">
      <c r="R444" t="s">
        <v>172</v>
      </c>
      <c r="T444"/>
    </row>
    <row r="445" spans="18:24" x14ac:dyDescent="0.3">
      <c r="R445" s="264" t="s">
        <v>99</v>
      </c>
      <c r="S445" s="90">
        <v>3.3300000000000003E-2</v>
      </c>
      <c r="T445" s="90">
        <v>-3.3300000000000003E-2</v>
      </c>
      <c r="V445" s="380"/>
    </row>
    <row r="446" spans="18:24" x14ac:dyDescent="0.3">
      <c r="R446" s="264" t="s">
        <v>100</v>
      </c>
      <c r="S446" s="90">
        <v>-1.6667000000000001</v>
      </c>
      <c r="T446" s="90">
        <v>2.6667000000000001</v>
      </c>
    </row>
    <row r="447" spans="18:24" x14ac:dyDescent="0.3">
      <c r="R447" s="105"/>
    </row>
    <row r="472" spans="18:24" ht="15" thickBot="1" x14ac:dyDescent="0.35">
      <c r="R472" t="s">
        <v>192</v>
      </c>
    </row>
    <row r="473" spans="18:24" x14ac:dyDescent="0.3">
      <c r="R473" s="93" t="s">
        <v>12</v>
      </c>
      <c r="S473" s="94">
        <v>50</v>
      </c>
      <c r="T473" s="94"/>
      <c r="U473" s="94"/>
      <c r="V473" s="94"/>
      <c r="W473" s="94"/>
      <c r="X473" s="95">
        <v>80</v>
      </c>
    </row>
    <row r="474" spans="18:24" ht="15" thickBot="1" x14ac:dyDescent="0.35">
      <c r="R474" s="99" t="s">
        <v>13</v>
      </c>
      <c r="S474" s="100">
        <v>0</v>
      </c>
      <c r="T474" s="100">
        <v>0.28999999999999998</v>
      </c>
      <c r="U474" s="101">
        <v>0.3</v>
      </c>
      <c r="V474" s="101">
        <v>0.69</v>
      </c>
      <c r="W474" s="103">
        <v>0.7</v>
      </c>
      <c r="X474" s="104">
        <v>1</v>
      </c>
    </row>
    <row r="476" spans="18:24" x14ac:dyDescent="0.3">
      <c r="R476" t="s">
        <v>194</v>
      </c>
    </row>
    <row r="477" spans="18:24" x14ac:dyDescent="0.3">
      <c r="R477" s="31" t="s">
        <v>99</v>
      </c>
      <c r="S477" s="90">
        <v>3.3300000000000003E-2</v>
      </c>
    </row>
    <row r="478" spans="18:24" x14ac:dyDescent="0.3">
      <c r="R478" s="31" t="s">
        <v>100</v>
      </c>
      <c r="S478" s="90">
        <v>-1.6667000000000001</v>
      </c>
      <c r="U478"/>
    </row>
    <row r="479" spans="18:24" x14ac:dyDescent="0.3">
      <c r="R479" s="105"/>
    </row>
    <row r="503" spans="18:24" ht="15" thickBot="1" x14ac:dyDescent="0.35">
      <c r="R503" t="s">
        <v>380</v>
      </c>
    </row>
    <row r="504" spans="18:24" x14ac:dyDescent="0.3">
      <c r="R504" s="189" t="s">
        <v>12</v>
      </c>
      <c r="S504" s="94">
        <v>9</v>
      </c>
      <c r="T504" s="94"/>
      <c r="U504" s="94"/>
      <c r="V504" s="94"/>
      <c r="W504" s="94"/>
      <c r="X504" s="95">
        <v>14</v>
      </c>
    </row>
    <row r="505" spans="18:24" ht="15" thickBot="1" x14ac:dyDescent="0.35">
      <c r="R505" s="99" t="s">
        <v>13</v>
      </c>
      <c r="S505" s="100">
        <v>0</v>
      </c>
      <c r="T505" s="100">
        <v>0.28999999999999998</v>
      </c>
      <c r="U505" s="101">
        <v>0.3</v>
      </c>
      <c r="V505" s="101">
        <v>0.69</v>
      </c>
      <c r="W505" s="103">
        <v>0.7</v>
      </c>
      <c r="X505" s="104">
        <v>1</v>
      </c>
    </row>
    <row r="507" spans="18:24" x14ac:dyDescent="0.3">
      <c r="S507"/>
      <c r="T507"/>
      <c r="U507"/>
    </row>
    <row r="508" spans="18:24" x14ac:dyDescent="0.3">
      <c r="R508" t="s">
        <v>172</v>
      </c>
      <c r="S508"/>
      <c r="T508"/>
      <c r="U508"/>
    </row>
    <row r="509" spans="18:24" x14ac:dyDescent="0.3">
      <c r="R509" s="31" t="s">
        <v>99</v>
      </c>
      <c r="S509" s="345">
        <v>0.2</v>
      </c>
      <c r="T509"/>
    </row>
    <row r="510" spans="18:24" x14ac:dyDescent="0.3">
      <c r="R510" s="31" t="s">
        <v>100</v>
      </c>
      <c r="S510" s="345">
        <v>-1.8</v>
      </c>
    </row>
    <row r="511" spans="18:24" x14ac:dyDescent="0.3">
      <c r="R511" s="105"/>
      <c r="U511"/>
    </row>
    <row r="689" spans="25:25" x14ac:dyDescent="0.3">
      <c r="Y689" s="91"/>
    </row>
    <row r="690" spans="25:25" x14ac:dyDescent="0.3">
      <c r="Y690" s="91"/>
    </row>
    <row r="695" spans="25:25" x14ac:dyDescent="0.3">
      <c r="Y695" s="91"/>
    </row>
    <row r="696" spans="25:25" ht="14.4" customHeight="1" x14ac:dyDescent="0.3">
      <c r="Y696" s="91"/>
    </row>
    <row r="701" spans="25:25" x14ac:dyDescent="0.3">
      <c r="Y701" s="91"/>
    </row>
    <row r="702" spans="25:25" x14ac:dyDescent="0.3">
      <c r="Y702" s="91"/>
    </row>
    <row r="853" ht="18.600000000000001" customHeight="1" x14ac:dyDescent="0.3"/>
    <row r="854" ht="23.4" customHeight="1" x14ac:dyDescent="0.3"/>
    <row r="855" ht="20.399999999999999" customHeight="1" x14ac:dyDescent="0.3"/>
  </sheetData>
  <sheetProtection password="9A39" sheet="1" formatColumns="0" formatRows="0"/>
  <mergeCells count="25">
    <mergeCell ref="B5:H6"/>
    <mergeCell ref="R5:X6"/>
    <mergeCell ref="AI5:AO6"/>
    <mergeCell ref="AM200:AO200"/>
    <mergeCell ref="AJ200:AL200"/>
    <mergeCell ref="AJ62:AL62"/>
    <mergeCell ref="AM62:AO62"/>
    <mergeCell ref="AJ15:AL15"/>
    <mergeCell ref="J5:P6"/>
    <mergeCell ref="AJ107:AL107"/>
    <mergeCell ref="Z5:AG6"/>
    <mergeCell ref="R304:R305"/>
    <mergeCell ref="R337:R338"/>
    <mergeCell ref="R237:R238"/>
    <mergeCell ref="AP62:AR62"/>
    <mergeCell ref="AJ153:AL153"/>
    <mergeCell ref="AS200:AU200"/>
    <mergeCell ref="AS153:AU153"/>
    <mergeCell ref="AS15:AU15"/>
    <mergeCell ref="AM107:AO107"/>
    <mergeCell ref="AM153:AO153"/>
    <mergeCell ref="AP153:AR153"/>
    <mergeCell ref="AM15:AO15"/>
    <mergeCell ref="AP15:AR15"/>
    <mergeCell ref="AP200:AR200"/>
  </mergeCells>
  <printOptions gridLines="1"/>
  <pageMargins left="0.7" right="0.7" top="0.75" bottom="0.75" header="0.3" footer="0.3"/>
  <pageSetup scale="10" orientation="portrait" r:id="rId1"/>
  <rowBreaks count="5" manualBreakCount="5">
    <brk id="165" max="16383" man="1"/>
    <brk id="209" max="16383" man="1"/>
    <brk id="360" max="16383" man="1"/>
    <brk id="517" max="16383" man="1"/>
    <brk id="676" max="16383" man="1"/>
  </rowBreaks>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118"/>
  <sheetViews>
    <sheetView workbookViewId="0"/>
  </sheetViews>
  <sheetFormatPr defaultRowHeight="14.4" x14ac:dyDescent="0.3"/>
  <cols>
    <col min="1" max="1" width="8.88671875" style="1"/>
    <col min="2" max="2" width="15.5546875" customWidth="1"/>
  </cols>
  <sheetData>
    <row r="1" spans="1:2" x14ac:dyDescent="0.3">
      <c r="A1" s="1" t="s">
        <v>123</v>
      </c>
      <c r="B1" s="1"/>
    </row>
    <row r="2" spans="1:2" x14ac:dyDescent="0.3">
      <c r="B2" t="s">
        <v>17</v>
      </c>
    </row>
    <row r="3" spans="1:2" x14ac:dyDescent="0.3">
      <c r="B3" t="s">
        <v>130</v>
      </c>
    </row>
    <row r="4" spans="1:2" x14ac:dyDescent="0.3">
      <c r="B4" t="s">
        <v>10</v>
      </c>
    </row>
    <row r="5" spans="1:2" x14ac:dyDescent="0.3">
      <c r="B5" t="s">
        <v>11</v>
      </c>
    </row>
    <row r="6" spans="1:2" x14ac:dyDescent="0.3">
      <c r="B6" t="s">
        <v>8</v>
      </c>
    </row>
    <row r="7" spans="1:2" x14ac:dyDescent="0.3">
      <c r="B7" t="s">
        <v>131</v>
      </c>
    </row>
    <row r="8" spans="1:2" x14ac:dyDescent="0.3">
      <c r="B8" t="s">
        <v>404</v>
      </c>
    </row>
    <row r="9" spans="1:2" x14ac:dyDescent="0.3">
      <c r="B9" t="s">
        <v>9</v>
      </c>
    </row>
    <row r="10" spans="1:2" x14ac:dyDescent="0.3">
      <c r="B10" t="s">
        <v>76</v>
      </c>
    </row>
    <row r="11" spans="1:2" x14ac:dyDescent="0.3">
      <c r="B11" t="s">
        <v>77</v>
      </c>
    </row>
    <row r="12" spans="1:2" x14ac:dyDescent="0.3">
      <c r="B12" t="s">
        <v>80</v>
      </c>
    </row>
    <row r="14" spans="1:2" x14ac:dyDescent="0.3">
      <c r="A14" s="1" t="s">
        <v>124</v>
      </c>
      <c r="B14" s="1"/>
    </row>
    <row r="15" spans="1:2" x14ac:dyDescent="0.3">
      <c r="B15" t="s">
        <v>178</v>
      </c>
    </row>
    <row r="16" spans="1:2" x14ac:dyDescent="0.3">
      <c r="B16" t="s">
        <v>18</v>
      </c>
    </row>
    <row r="17" spans="1:2" x14ac:dyDescent="0.3">
      <c r="B17" t="s">
        <v>179</v>
      </c>
    </row>
    <row r="18" spans="1:2" x14ac:dyDescent="0.3">
      <c r="B18" t="s">
        <v>180</v>
      </c>
    </row>
    <row r="19" spans="1:2" x14ac:dyDescent="0.3">
      <c r="B19" t="s">
        <v>181</v>
      </c>
    </row>
    <row r="20" spans="1:2" x14ac:dyDescent="0.3">
      <c r="B20" t="s">
        <v>182</v>
      </c>
    </row>
    <row r="22" spans="1:2" x14ac:dyDescent="0.3">
      <c r="A22" s="1" t="s">
        <v>125</v>
      </c>
      <c r="B22" s="1"/>
    </row>
    <row r="23" spans="1:2" x14ac:dyDescent="0.3">
      <c r="B23" s="330" t="s">
        <v>362</v>
      </c>
    </row>
    <row r="24" spans="1:2" x14ac:dyDescent="0.3">
      <c r="B24" s="330" t="s">
        <v>363</v>
      </c>
    </row>
    <row r="25" spans="1:2" x14ac:dyDescent="0.3">
      <c r="B25" s="330" t="s">
        <v>364</v>
      </c>
    </row>
    <row r="26" spans="1:2" x14ac:dyDescent="0.3">
      <c r="B26" s="330" t="s">
        <v>365</v>
      </c>
    </row>
    <row r="27" spans="1:2" x14ac:dyDescent="0.3">
      <c r="B27" s="330" t="s">
        <v>366</v>
      </c>
    </row>
    <row r="28" spans="1:2" x14ac:dyDescent="0.3">
      <c r="B28" s="330" t="s">
        <v>367</v>
      </c>
    </row>
    <row r="29" spans="1:2" x14ac:dyDescent="0.3">
      <c r="B29" s="330" t="s">
        <v>22</v>
      </c>
    </row>
    <row r="30" spans="1:2" x14ac:dyDescent="0.3">
      <c r="B30" s="330" t="s">
        <v>23</v>
      </c>
    </row>
    <row r="31" spans="1:2" x14ac:dyDescent="0.3">
      <c r="B31" s="330" t="s">
        <v>24</v>
      </c>
    </row>
    <row r="32" spans="1:2" x14ac:dyDescent="0.3">
      <c r="B32" s="330" t="s">
        <v>25</v>
      </c>
    </row>
    <row r="33" spans="2:2" x14ac:dyDescent="0.3">
      <c r="B33" s="330" t="s">
        <v>26</v>
      </c>
    </row>
    <row r="34" spans="2:2" x14ac:dyDescent="0.3">
      <c r="B34" s="330" t="s">
        <v>31</v>
      </c>
    </row>
    <row r="35" spans="2:2" x14ac:dyDescent="0.3">
      <c r="B35" s="330" t="s">
        <v>27</v>
      </c>
    </row>
    <row r="36" spans="2:2" x14ac:dyDescent="0.3">
      <c r="B36" s="330" t="s">
        <v>28</v>
      </c>
    </row>
    <row r="37" spans="2:2" x14ac:dyDescent="0.3">
      <c r="B37" s="330" t="s">
        <v>29</v>
      </c>
    </row>
    <row r="38" spans="2:2" x14ac:dyDescent="0.3">
      <c r="B38" s="330" t="s">
        <v>30</v>
      </c>
    </row>
    <row r="39" spans="2:2" x14ac:dyDescent="0.3">
      <c r="B39" s="330" t="s">
        <v>82</v>
      </c>
    </row>
    <row r="40" spans="2:2" x14ac:dyDescent="0.3">
      <c r="B40" s="330" t="s">
        <v>81</v>
      </c>
    </row>
    <row r="41" spans="2:2" x14ac:dyDescent="0.3">
      <c r="B41" s="330" t="s">
        <v>83</v>
      </c>
    </row>
    <row r="42" spans="2:2" x14ac:dyDescent="0.3">
      <c r="B42" s="330" t="s">
        <v>32</v>
      </c>
    </row>
    <row r="43" spans="2:2" x14ac:dyDescent="0.3">
      <c r="B43" s="330" t="s">
        <v>33</v>
      </c>
    </row>
    <row r="44" spans="2:2" x14ac:dyDescent="0.3">
      <c r="B44" s="330" t="s">
        <v>34</v>
      </c>
    </row>
    <row r="45" spans="2:2" x14ac:dyDescent="0.3">
      <c r="B45" s="330" t="s">
        <v>84</v>
      </c>
    </row>
    <row r="46" spans="2:2" x14ac:dyDescent="0.3">
      <c r="B46" s="330" t="s">
        <v>37</v>
      </c>
    </row>
    <row r="47" spans="2:2" x14ac:dyDescent="0.3">
      <c r="B47" s="330" t="s">
        <v>35</v>
      </c>
    </row>
    <row r="48" spans="2:2" x14ac:dyDescent="0.3">
      <c r="B48" s="330" t="s">
        <v>85</v>
      </c>
    </row>
    <row r="49" spans="1:2" x14ac:dyDescent="0.3">
      <c r="B49" s="330" t="s">
        <v>86</v>
      </c>
    </row>
    <row r="50" spans="1:2" x14ac:dyDescent="0.3">
      <c r="B50" s="330" t="s">
        <v>87</v>
      </c>
    </row>
    <row r="51" spans="1:2" x14ac:dyDescent="0.3">
      <c r="B51" s="330" t="s">
        <v>41</v>
      </c>
    </row>
    <row r="52" spans="1:2" x14ac:dyDescent="0.3">
      <c r="B52" s="330" t="s">
        <v>88</v>
      </c>
    </row>
    <row r="53" spans="1:2" x14ac:dyDescent="0.3">
      <c r="B53" s="330" t="s">
        <v>36</v>
      </c>
    </row>
    <row r="54" spans="1:2" x14ac:dyDescent="0.3">
      <c r="B54" s="330" t="s">
        <v>89</v>
      </c>
    </row>
    <row r="55" spans="1:2" x14ac:dyDescent="0.3">
      <c r="B55" s="330" t="s">
        <v>38</v>
      </c>
    </row>
    <row r="56" spans="1:2" x14ac:dyDescent="0.3">
      <c r="B56" s="330" t="s">
        <v>39</v>
      </c>
    </row>
    <row r="57" spans="1:2" x14ac:dyDescent="0.3">
      <c r="B57" s="330" t="s">
        <v>40</v>
      </c>
    </row>
    <row r="58" spans="1:2" x14ac:dyDescent="0.3">
      <c r="B58" s="330" t="s">
        <v>42</v>
      </c>
    </row>
    <row r="59" spans="1:2" x14ac:dyDescent="0.3">
      <c r="B59" s="330"/>
    </row>
    <row r="61" spans="1:2" x14ac:dyDescent="0.3">
      <c r="A61" s="1" t="s">
        <v>126</v>
      </c>
    </row>
    <row r="62" spans="1:2" x14ac:dyDescent="0.3">
      <c r="B62" t="s">
        <v>188</v>
      </c>
    </row>
    <row r="63" spans="1:2" x14ac:dyDescent="0.3">
      <c r="B63" t="s">
        <v>187</v>
      </c>
    </row>
    <row r="65" spans="1:2" x14ac:dyDescent="0.3">
      <c r="A65" s="1" t="s">
        <v>279</v>
      </c>
    </row>
    <row r="66" spans="1:2" x14ac:dyDescent="0.3">
      <c r="B66" t="s">
        <v>275</v>
      </c>
    </row>
    <row r="67" spans="1:2" x14ac:dyDescent="0.3">
      <c r="B67" t="s">
        <v>276</v>
      </c>
    </row>
    <row r="68" spans="1:2" x14ac:dyDescent="0.3">
      <c r="B68" t="s">
        <v>277</v>
      </c>
    </row>
    <row r="69" spans="1:2" x14ac:dyDescent="0.3">
      <c r="B69" t="s">
        <v>278</v>
      </c>
    </row>
    <row r="70" spans="1:2" x14ac:dyDescent="0.3">
      <c r="B70" s="36">
        <v>7</v>
      </c>
    </row>
    <row r="72" spans="1:2" x14ac:dyDescent="0.3">
      <c r="A72" s="1" t="s">
        <v>284</v>
      </c>
    </row>
    <row r="73" spans="1:2" x14ac:dyDescent="0.3">
      <c r="B73" t="s">
        <v>285</v>
      </c>
    </row>
    <row r="74" spans="1:2" x14ac:dyDescent="0.3">
      <c r="B74" t="s">
        <v>286</v>
      </c>
    </row>
    <row r="75" spans="1:2" x14ac:dyDescent="0.3">
      <c r="B75" t="s">
        <v>287</v>
      </c>
    </row>
    <row r="77" spans="1:2" x14ac:dyDescent="0.3">
      <c r="A77" s="1" t="s">
        <v>127</v>
      </c>
    </row>
    <row r="78" spans="1:2" x14ac:dyDescent="0.3">
      <c r="B78" t="s">
        <v>53</v>
      </c>
    </row>
    <row r="79" spans="1:2" x14ac:dyDescent="0.3">
      <c r="B79" t="s">
        <v>54</v>
      </c>
    </row>
    <row r="81" spans="1:2" x14ac:dyDescent="0.3">
      <c r="A81" s="1" t="s">
        <v>68</v>
      </c>
    </row>
    <row r="82" spans="1:2" x14ac:dyDescent="0.3">
      <c r="B82" t="s">
        <v>147</v>
      </c>
    </row>
    <row r="83" spans="1:2" x14ac:dyDescent="0.3">
      <c r="B83" t="s">
        <v>65</v>
      </c>
    </row>
    <row r="84" spans="1:2" x14ac:dyDescent="0.3">
      <c r="B84" t="s">
        <v>66</v>
      </c>
    </row>
    <row r="85" spans="1:2" x14ac:dyDescent="0.3">
      <c r="B85" t="s">
        <v>67</v>
      </c>
    </row>
    <row r="87" spans="1:2" x14ac:dyDescent="0.3">
      <c r="A87" s="1" t="s">
        <v>128</v>
      </c>
    </row>
    <row r="88" spans="1:2" x14ac:dyDescent="0.3">
      <c r="B88" t="s">
        <v>110</v>
      </c>
    </row>
    <row r="89" spans="1:2" x14ac:dyDescent="0.3">
      <c r="B89" t="s">
        <v>76</v>
      </c>
    </row>
    <row r="90" spans="1:2" x14ac:dyDescent="0.3">
      <c r="B90" t="s">
        <v>77</v>
      </c>
    </row>
    <row r="92" spans="1:2" x14ac:dyDescent="0.3">
      <c r="A92" s="1" t="s">
        <v>145</v>
      </c>
    </row>
    <row r="93" spans="1:2" x14ac:dyDescent="0.3">
      <c r="B93" t="s">
        <v>155</v>
      </c>
    </row>
    <row r="94" spans="1:2" x14ac:dyDescent="0.3">
      <c r="B94" t="s">
        <v>156</v>
      </c>
    </row>
    <row r="95" spans="1:2" x14ac:dyDescent="0.3">
      <c r="B95" t="s">
        <v>157</v>
      </c>
    </row>
    <row r="98" spans="1:2" x14ac:dyDescent="0.3">
      <c r="A98" s="1" t="s">
        <v>228</v>
      </c>
    </row>
    <row r="99" spans="1:2" x14ac:dyDescent="0.3">
      <c r="B99" t="s">
        <v>205</v>
      </c>
    </row>
    <row r="100" spans="1:2" x14ac:dyDescent="0.3">
      <c r="B100" t="s">
        <v>206</v>
      </c>
    </row>
    <row r="101" spans="1:2" x14ac:dyDescent="0.3">
      <c r="B101" t="s">
        <v>207</v>
      </c>
    </row>
    <row r="102" spans="1:2" x14ac:dyDescent="0.3">
      <c r="B102" t="s">
        <v>208</v>
      </c>
    </row>
    <row r="103" spans="1:2" x14ac:dyDescent="0.3">
      <c r="B103" t="s">
        <v>210</v>
      </c>
    </row>
    <row r="104" spans="1:2" x14ac:dyDescent="0.3">
      <c r="B104" t="s">
        <v>211</v>
      </c>
    </row>
    <row r="105" spans="1:2" x14ac:dyDescent="0.3">
      <c r="B105" t="s">
        <v>212</v>
      </c>
    </row>
    <row r="106" spans="1:2" x14ac:dyDescent="0.3">
      <c r="B106" t="s">
        <v>214</v>
      </c>
    </row>
    <row r="107" spans="1:2" x14ac:dyDescent="0.3">
      <c r="B107" t="s">
        <v>354</v>
      </c>
    </row>
    <row r="109" spans="1:2" x14ac:dyDescent="0.3">
      <c r="A109" t="s">
        <v>203</v>
      </c>
    </row>
    <row r="110" spans="1:2" x14ac:dyDescent="0.3">
      <c r="B110" t="s">
        <v>217</v>
      </c>
    </row>
    <row r="111" spans="1:2" x14ac:dyDescent="0.3">
      <c r="B111" t="s">
        <v>218</v>
      </c>
    </row>
    <row r="112" spans="1:2" x14ac:dyDescent="0.3">
      <c r="B112" t="s">
        <v>219</v>
      </c>
    </row>
    <row r="113" spans="1:2" x14ac:dyDescent="0.3">
      <c r="B113" t="s">
        <v>208</v>
      </c>
    </row>
    <row r="114" spans="1:2" x14ac:dyDescent="0.3">
      <c r="A114"/>
      <c r="B114" t="s">
        <v>221</v>
      </c>
    </row>
    <row r="115" spans="1:2" x14ac:dyDescent="0.3">
      <c r="A115"/>
      <c r="B115" t="s">
        <v>222</v>
      </c>
    </row>
    <row r="116" spans="1:2" x14ac:dyDescent="0.3">
      <c r="A116"/>
      <c r="B116" t="s">
        <v>223</v>
      </c>
    </row>
    <row r="117" spans="1:2" x14ac:dyDescent="0.3">
      <c r="A117"/>
      <c r="B117" t="s">
        <v>212</v>
      </c>
    </row>
    <row r="118" spans="1:2" x14ac:dyDescent="0.3">
      <c r="B118" t="s">
        <v>225</v>
      </c>
    </row>
  </sheetData>
  <sortState ref="B66:B70">
    <sortCondition ref="B6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Project Assessment</vt:lpstr>
      <vt:lpstr>Catchment Assessment</vt:lpstr>
      <vt:lpstr>Major Flow Variability Metrics</vt:lpstr>
      <vt:lpstr>Measurement Selection Guide</vt:lpstr>
      <vt:lpstr>Quantification Tool</vt:lpstr>
      <vt:lpstr>Monitoring Data</vt:lpstr>
      <vt:lpstr>Data Summary</vt:lpstr>
      <vt:lpstr>Reference Curves</vt:lpstr>
      <vt:lpstr>Pull Down Notes</vt:lpstr>
      <vt:lpstr>BedMaterial</vt:lpstr>
      <vt:lpstr>BEHI.NBS</vt:lpstr>
      <vt:lpstr>CatchmentAssessment</vt:lpstr>
      <vt:lpstr>Level</vt:lpstr>
      <vt:lpstr>'Catchment Assessment'!Print_Area</vt:lpstr>
      <vt:lpstr>'Data Summary'!Print_Area</vt:lpstr>
      <vt:lpstr>'Major Flow Variability Metrics'!Print_Area</vt:lpstr>
      <vt:lpstr>'Measurement Selection Guide'!Print_Area</vt:lpstr>
      <vt:lpstr>'Monitoring Data'!Print_Area</vt:lpstr>
      <vt:lpstr>'Quantification Tool'!Print_Area</vt:lpstr>
      <vt:lpstr>'Reference Curves'!Print_Area</vt:lpstr>
      <vt:lpstr>'Major Flow Variability Metrics'!Print_Titles</vt:lpstr>
      <vt:lpstr>ProgramGoals</vt:lpstr>
      <vt:lpstr>Region</vt:lpstr>
      <vt:lpstr>StreamType</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DoD_Admin</cp:lastModifiedBy>
  <cp:lastPrinted>2019-05-31T20:11:48Z</cp:lastPrinted>
  <dcterms:created xsi:type="dcterms:W3CDTF">2014-08-22T20:36:47Z</dcterms:created>
  <dcterms:modified xsi:type="dcterms:W3CDTF">2020-02-06T14:34:19Z</dcterms:modified>
</cp:coreProperties>
</file>